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75" windowWidth="27795" windowHeight="12270" activeTab="1"/>
  </bookViews>
  <sheets>
    <sheet name="BEAnova" sheetId="1" r:id="rId1"/>
    <sheet name="BE imbalanced" sheetId="2" r:id="rId2"/>
  </sheets>
  <calcPr calcId="145621"/>
</workbook>
</file>

<file path=xl/calcChain.xml><?xml version="1.0" encoding="utf-8"?>
<calcChain xmlns="http://schemas.openxmlformats.org/spreadsheetml/2006/main">
  <c r="I29" i="1" l="1"/>
  <c r="I26" i="1"/>
  <c r="K3" i="1"/>
  <c r="K5" i="1"/>
  <c r="B16" i="2" l="1"/>
  <c r="B17" i="2"/>
  <c r="B18" i="2"/>
  <c r="B19" i="2"/>
  <c r="B20" i="2"/>
  <c r="B21" i="2"/>
  <c r="B22" i="2"/>
  <c r="B23" i="2"/>
  <c r="B24" i="2"/>
  <c r="B25" i="2"/>
  <c r="H10" i="1"/>
  <c r="B16" i="1"/>
  <c r="D43" i="2" l="1"/>
  <c r="G63" i="2" l="1"/>
  <c r="C26" i="2"/>
  <c r="B26" i="2"/>
  <c r="C25" i="2"/>
  <c r="C24" i="2"/>
  <c r="C23" i="2"/>
  <c r="C22" i="2"/>
  <c r="C21" i="2"/>
  <c r="C20" i="2"/>
  <c r="C19" i="2"/>
  <c r="C18" i="2"/>
  <c r="C17" i="2"/>
  <c r="C16" i="2"/>
  <c r="C59" i="2" l="1"/>
  <c r="C76" i="2"/>
  <c r="C62" i="2"/>
  <c r="D76" i="2"/>
  <c r="B121" i="2"/>
  <c r="B123" i="2"/>
  <c r="B125" i="2"/>
  <c r="B129" i="2"/>
  <c r="B131" i="2"/>
  <c r="D86" i="2"/>
  <c r="B133" i="2"/>
  <c r="B122" i="2"/>
  <c r="I16" i="2"/>
  <c r="B124" i="2"/>
  <c r="B126" i="2"/>
  <c r="B130" i="2"/>
  <c r="B132" i="2"/>
  <c r="D79" i="2"/>
  <c r="D81" i="2"/>
  <c r="D83" i="2"/>
  <c r="D85" i="2"/>
  <c r="D77" i="2"/>
  <c r="B88" i="2"/>
  <c r="C88" i="2" s="1"/>
  <c r="D78" i="2"/>
  <c r="D80" i="2"/>
  <c r="D82" i="2"/>
  <c r="B89" i="2"/>
  <c r="C89" i="2" s="1"/>
  <c r="D84" i="2"/>
  <c r="F25" i="2"/>
  <c r="B38" i="2"/>
  <c r="C77" i="2"/>
  <c r="B39" i="2"/>
  <c r="C82" i="2"/>
  <c r="C84" i="2"/>
  <c r="C38" i="2"/>
  <c r="C79" i="2"/>
  <c r="F20" i="2"/>
  <c r="C39" i="2"/>
  <c r="C86" i="2"/>
  <c r="F17" i="2"/>
  <c r="F21" i="2"/>
  <c r="C81" i="2"/>
  <c r="D98" i="2" s="1"/>
  <c r="C83" i="2"/>
  <c r="C85" i="2"/>
  <c r="C78" i="2"/>
  <c r="C95" i="2" s="1"/>
  <c r="C80" i="2"/>
  <c r="D97" i="2" s="1"/>
  <c r="F23" i="2"/>
  <c r="F18" i="2"/>
  <c r="F16" i="2"/>
  <c r="I12" i="2"/>
  <c r="I5" i="2"/>
  <c r="F19" i="2"/>
  <c r="F24" i="2"/>
  <c r="F26" i="2"/>
  <c r="F22" i="2"/>
  <c r="I6" i="2"/>
  <c r="I13" i="2"/>
  <c r="I17" i="2"/>
  <c r="I1" i="2"/>
  <c r="I3" i="2" s="1"/>
  <c r="B42" i="2" l="1"/>
  <c r="B41" i="2"/>
  <c r="B43" i="2" s="1"/>
  <c r="C68" i="2"/>
  <c r="C52" i="2"/>
  <c r="C55" i="2"/>
  <c r="C107" i="2"/>
  <c r="C93" i="2"/>
  <c r="C56" i="2"/>
  <c r="E56" i="2" s="1"/>
  <c r="D93" i="2"/>
  <c r="D87" i="2"/>
  <c r="B127" i="2"/>
  <c r="C121" i="2" s="1"/>
  <c r="B134" i="2"/>
  <c r="C131" i="2" s="1"/>
  <c r="D99" i="2"/>
  <c r="D64" i="2"/>
  <c r="D69" i="2"/>
  <c r="C71" i="2"/>
  <c r="C116" i="2"/>
  <c r="C67" i="2"/>
  <c r="C117" i="2"/>
  <c r="C111" i="2"/>
  <c r="D63" i="2"/>
  <c r="C113" i="2"/>
  <c r="D89" i="2"/>
  <c r="D102" i="2"/>
  <c r="C64" i="2"/>
  <c r="C69" i="2"/>
  <c r="D70" i="2"/>
  <c r="C110" i="2"/>
  <c r="C115" i="2"/>
  <c r="C66" i="2"/>
  <c r="D72" i="2"/>
  <c r="C114" i="2"/>
  <c r="I14" i="2"/>
  <c r="I25" i="2" s="1"/>
  <c r="C102" i="2"/>
  <c r="C112" i="2"/>
  <c r="D101" i="2"/>
  <c r="C65" i="2"/>
  <c r="D66" i="2"/>
  <c r="C108" i="2"/>
  <c r="C103" i="2"/>
  <c r="C101" i="2"/>
  <c r="D96" i="2"/>
  <c r="C99" i="2"/>
  <c r="D71" i="2"/>
  <c r="D67" i="2"/>
  <c r="C109" i="2"/>
  <c r="D103" i="2"/>
  <c r="C100" i="2"/>
  <c r="C98" i="2"/>
  <c r="D65" i="2"/>
  <c r="C72" i="2"/>
  <c r="D68" i="2"/>
  <c r="C96" i="2"/>
  <c r="D94" i="2"/>
  <c r="C70" i="2"/>
  <c r="D95" i="2"/>
  <c r="C94" i="2"/>
  <c r="D100" i="2"/>
  <c r="C97" i="2"/>
  <c r="D62" i="2"/>
  <c r="C63" i="2"/>
  <c r="I7" i="2"/>
  <c r="C132" i="2" l="1"/>
  <c r="C129" i="2"/>
  <c r="C133" i="2"/>
  <c r="C130" i="2"/>
  <c r="G65" i="2"/>
  <c r="G67" i="2" s="1"/>
  <c r="C104" i="2"/>
  <c r="B47" i="2" s="1"/>
  <c r="C54" i="2" s="1"/>
  <c r="C118" i="2"/>
  <c r="B46" i="2" s="1"/>
  <c r="C51" i="2" s="1"/>
  <c r="C73" i="2"/>
  <c r="B45" i="2" s="1"/>
  <c r="E55" i="2"/>
  <c r="E52" i="2"/>
  <c r="C90" i="2"/>
  <c r="C126" i="2"/>
  <c r="C122" i="2"/>
  <c r="C125" i="2"/>
  <c r="C123" i="2"/>
  <c r="C124" i="2"/>
  <c r="K7" i="1"/>
  <c r="C53" i="2" l="1"/>
  <c r="D46" i="2" s="1"/>
  <c r="C135" i="2"/>
  <c r="D104" i="2"/>
  <c r="E27" i="1"/>
  <c r="C17" i="1"/>
  <c r="C18" i="1"/>
  <c r="C19" i="1"/>
  <c r="C20" i="1"/>
  <c r="C21" i="1"/>
  <c r="C22" i="1"/>
  <c r="C23" i="1"/>
  <c r="C24" i="1"/>
  <c r="C25" i="1"/>
  <c r="C26" i="1"/>
  <c r="C27" i="1"/>
  <c r="C16" i="1"/>
  <c r="B17" i="1"/>
  <c r="B18" i="1"/>
  <c r="B19" i="1"/>
  <c r="E19" i="1" s="1"/>
  <c r="B20" i="1"/>
  <c r="B21" i="1"/>
  <c r="B22" i="1"/>
  <c r="B23" i="1"/>
  <c r="B24" i="1"/>
  <c r="B25" i="1"/>
  <c r="B26" i="1"/>
  <c r="B27" i="1"/>
  <c r="C136" i="2" l="1"/>
  <c r="C57" i="2" s="1"/>
  <c r="D47" i="2" s="1"/>
  <c r="E53" i="2"/>
  <c r="F52" i="2" s="1"/>
  <c r="G52" i="2" s="1"/>
  <c r="E16" i="1"/>
  <c r="B33" i="1"/>
  <c r="B47" i="1" s="1"/>
  <c r="B42" i="1"/>
  <c r="B56" i="1" s="1"/>
  <c r="B38" i="1"/>
  <c r="B52" i="1" s="1"/>
  <c r="B34" i="1"/>
  <c r="C48" i="1" s="1"/>
  <c r="B29" i="1"/>
  <c r="E21" i="1"/>
  <c r="H5" i="1"/>
  <c r="E24" i="1"/>
  <c r="B41" i="1"/>
  <c r="B55" i="1" s="1"/>
  <c r="E20" i="1"/>
  <c r="B37" i="1"/>
  <c r="B51" i="1" s="1"/>
  <c r="H19" i="1"/>
  <c r="B44" i="1"/>
  <c r="B58" i="1" s="1"/>
  <c r="B40" i="1"/>
  <c r="B54" i="1" s="1"/>
  <c r="B36" i="1"/>
  <c r="B50" i="1" s="1"/>
  <c r="E25" i="1"/>
  <c r="E17" i="1"/>
  <c r="E26" i="1"/>
  <c r="B43" i="1"/>
  <c r="B57" i="1" s="1"/>
  <c r="E22" i="1"/>
  <c r="B39" i="1"/>
  <c r="B53" i="1" s="1"/>
  <c r="E18" i="1"/>
  <c r="B35" i="1"/>
  <c r="B49" i="1" s="1"/>
  <c r="E23" i="1"/>
  <c r="H1" i="1"/>
  <c r="H6" i="1"/>
  <c r="H18" i="1"/>
  <c r="H14" i="1"/>
  <c r="H15" i="1"/>
  <c r="E57" i="2" l="1"/>
  <c r="F53" i="2" s="1"/>
  <c r="G53" i="2" s="1"/>
  <c r="C47" i="1"/>
  <c r="C52" i="1"/>
  <c r="C54" i="1"/>
  <c r="C58" i="1"/>
  <c r="C51" i="1"/>
  <c r="C53" i="1"/>
  <c r="H4" i="1"/>
  <c r="C55" i="1"/>
  <c r="C49" i="1"/>
  <c r="C56" i="1"/>
  <c r="B48" i="1"/>
  <c r="C57" i="1"/>
  <c r="C50" i="1"/>
  <c r="H3" i="1"/>
  <c r="H7" i="1"/>
  <c r="H25" i="1" s="1"/>
  <c r="J25" i="1" s="1"/>
  <c r="H20" i="1"/>
  <c r="H16" i="1"/>
  <c r="H27" i="1" s="1"/>
  <c r="J27" i="1" s="1"/>
  <c r="F56" i="2" l="1"/>
  <c r="G56" i="2" s="1"/>
  <c r="G61" i="2"/>
  <c r="G76" i="2"/>
  <c r="F55" i="2"/>
  <c r="G55" i="2" s="1"/>
  <c r="G75" i="2"/>
  <c r="B60" i="1"/>
  <c r="H28" i="1"/>
  <c r="J28" i="1" s="1"/>
  <c r="H26" i="1"/>
  <c r="J26" i="1" s="1"/>
  <c r="K25" i="1" l="1"/>
  <c r="L25" i="1" s="1"/>
  <c r="H22" i="1"/>
  <c r="H29" i="1" s="1"/>
  <c r="H12" i="1" s="1"/>
  <c r="J29" i="1" l="1"/>
  <c r="K28" i="1" l="1"/>
  <c r="L28" i="1" s="1"/>
  <c r="K1" i="1"/>
  <c r="K18" i="1"/>
  <c r="K27" i="1"/>
  <c r="L27" i="1" s="1"/>
  <c r="K26" i="1"/>
  <c r="L26" i="1" s="1"/>
  <c r="K19" i="1"/>
  <c r="K9" i="1" l="1"/>
  <c r="K14" i="1" s="1"/>
  <c r="K10" i="1"/>
  <c r="K15" i="1" s="1"/>
  <c r="I23" i="2" l="1"/>
  <c r="I18" i="2"/>
  <c r="I26" i="2" s="1"/>
  <c r="I9" i="2"/>
  <c r="K23" i="2" l="1"/>
  <c r="K26" i="2"/>
  <c r="K25" i="2"/>
  <c r="I10" i="2"/>
  <c r="I24" i="2" s="1"/>
  <c r="K24" i="2" s="1"/>
  <c r="I20" i="2" l="1"/>
  <c r="I27" i="2" s="1"/>
  <c r="L23" i="2"/>
  <c r="M23" i="2" s="1"/>
  <c r="K27" i="2" l="1"/>
  <c r="L25" i="2" l="1"/>
  <c r="M25" i="2" s="1"/>
  <c r="L24" i="2"/>
  <c r="M24" i="2" s="1"/>
  <c r="L26" i="2"/>
  <c r="M26" i="2" s="1"/>
  <c r="G70" i="2" l="1"/>
  <c r="G73" i="2" s="1"/>
  <c r="G69" i="2"/>
  <c r="G72" i="2" s="1"/>
</calcChain>
</file>

<file path=xl/comments1.xml><?xml version="1.0" encoding="utf-8"?>
<comments xmlns="http://schemas.openxmlformats.org/spreadsheetml/2006/main">
  <authors>
    <author>Арнаутов Владимир Сергеевич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Арнаутов Владимир Сергеевич:</t>
        </r>
        <r>
          <rPr>
            <sz val="9"/>
            <color indexed="81"/>
            <rFont val="Tahoma"/>
            <family val="2"/>
            <charset val="204"/>
          </rPr>
          <t xml:space="preserve">
Корректировочное значение</t>
        </r>
      </text>
    </comment>
  </commentList>
</comments>
</file>

<file path=xl/comments2.xml><?xml version="1.0" encoding="utf-8"?>
<comments xmlns="http://schemas.openxmlformats.org/spreadsheetml/2006/main">
  <authors>
    <author>Арнаутов Владимир Сергеевич</author>
  </authors>
  <commentLis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>Арнаутов Владимир Сергеевич:</t>
        </r>
        <r>
          <rPr>
            <sz val="9"/>
            <color indexed="81"/>
            <rFont val="Tahoma"/>
            <family val="2"/>
            <charset val="204"/>
          </rPr>
          <t xml:space="preserve">
Корректировочное значение</t>
        </r>
      </text>
    </comment>
  </commentList>
</comments>
</file>

<file path=xl/sharedStrings.xml><?xml version="1.0" encoding="utf-8"?>
<sst xmlns="http://schemas.openxmlformats.org/spreadsheetml/2006/main" count="187" uniqueCount="77">
  <si>
    <t>Sequence</t>
  </si>
  <si>
    <t>TR</t>
  </si>
  <si>
    <t>RT</t>
  </si>
  <si>
    <t>SS</t>
  </si>
  <si>
    <t>DF</t>
  </si>
  <si>
    <t>MS</t>
  </si>
  <si>
    <t>SE</t>
  </si>
  <si>
    <t>t(alpha,df)</t>
  </si>
  <si>
    <t>LN (CI UPPER)</t>
  </si>
  <si>
    <t>LN (CI LOWER)</t>
  </si>
  <si>
    <t>C</t>
  </si>
  <si>
    <t>p1</t>
  </si>
  <si>
    <t>p2</t>
  </si>
  <si>
    <t>s1</t>
  </si>
  <si>
    <t>s2</t>
  </si>
  <si>
    <t>f1</t>
  </si>
  <si>
    <t>f2</t>
  </si>
  <si>
    <t>Препарат</t>
  </si>
  <si>
    <t>Период</t>
  </si>
  <si>
    <t>Последоваетльность</t>
  </si>
  <si>
    <t xml:space="preserve">Error </t>
  </si>
  <si>
    <t>P</t>
  </si>
  <si>
    <t>F</t>
  </si>
  <si>
    <t>Фактор</t>
  </si>
  <si>
    <t>Subject</t>
  </si>
  <si>
    <t>Ln-преобразованные данные:</t>
  </si>
  <si>
    <t>Period 1</t>
  </si>
  <si>
    <t>Period 2</t>
  </si>
  <si>
    <t>SStotal</t>
  </si>
  <si>
    <t>SSperiod</t>
  </si>
  <si>
    <t>SSsequence</t>
  </si>
  <si>
    <t>SSformulation</t>
  </si>
  <si>
    <t>SSerror</t>
  </si>
  <si>
    <t>SSsubject</t>
  </si>
  <si>
    <t>SS(s*s)</t>
  </si>
  <si>
    <t>diff</t>
  </si>
  <si>
    <t>CI90% UPPER</t>
  </si>
  <si>
    <t>CI90% LOWER</t>
  </si>
  <si>
    <t>Ratio%</t>
  </si>
  <si>
    <t>CVintra</t>
  </si>
  <si>
    <t>CVinter</t>
  </si>
  <si>
    <t>Formulation</t>
  </si>
  <si>
    <t>Error</t>
  </si>
  <si>
    <t>Total</t>
  </si>
  <si>
    <t>Sequence 1</t>
  </si>
  <si>
    <t>Sequence 2</t>
  </si>
  <si>
    <t>Mean</t>
  </si>
  <si>
    <t>Diff</t>
  </si>
  <si>
    <t>LSM T</t>
  </si>
  <si>
    <t>LSM R</t>
  </si>
  <si>
    <t xml:space="preserve">Period </t>
  </si>
  <si>
    <t>Total Mean</t>
  </si>
  <si>
    <t xml:space="preserve">SS Total </t>
  </si>
  <si>
    <t>Mean ik</t>
  </si>
  <si>
    <t>SS Within</t>
  </si>
  <si>
    <t>SS Between</t>
  </si>
  <si>
    <t>Sq1 Sum</t>
  </si>
  <si>
    <t>Sq2 Sum</t>
  </si>
  <si>
    <t>Sum ik</t>
  </si>
  <si>
    <t>SS B</t>
  </si>
  <si>
    <t>SS W</t>
  </si>
  <si>
    <t>SS Inter (Subject(Sq))</t>
  </si>
  <si>
    <t>SS Subject(Sq)</t>
  </si>
  <si>
    <t>Grand Mean</t>
  </si>
  <si>
    <t>Subject Mean</t>
  </si>
  <si>
    <t>Mean S1</t>
  </si>
  <si>
    <t>Mean S2</t>
  </si>
  <si>
    <t>SS Carry (Sq)</t>
  </si>
  <si>
    <t>SSsubject(Between)</t>
  </si>
  <si>
    <t>N =</t>
  </si>
  <si>
    <t xml:space="preserve">2*(n1*n2)/(n1+n2) = </t>
  </si>
  <si>
    <t>=</t>
  </si>
  <si>
    <t>Between</t>
  </si>
  <si>
    <t>Within</t>
  </si>
  <si>
    <t>Субъект*Последовательность</t>
  </si>
  <si>
    <t>Результат:</t>
  </si>
  <si>
    <t>Различие в 5-м знаке после запятой в значениях границ доверительных интервалов обусловлено разной точностью расчета коэффициента t в ПО MS Excel и Phoenix WinNonlin. Данные различия миожно считать несущественными т.к. они не приводят к систематическим ошибкам, в то время как границы доверительных интервалов допускается определять с округлением до 2го знака после запятой.  Значения SS совпадают с точностью до 9-го знака.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</si>
</sst>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0000000000"/>
    <numFmt numFmtId="165" formatCode="0.000000"/>
    <numFmt numFmtId="166" formatCode="0.0000000000000000"/>
    <numFmt numFmtId="167" formatCode="0.0000000000"/>
    <numFmt numFmtId="168" formatCode="0.00000000"/>
    <numFmt numFmtId="169" formatCode="0.0000"/>
    <numFmt numFmtId="170" formatCode="0.000000000000000"/>
    <numFmt numFmtId="171" formatCode="0.00000000000"/>
    <numFmt numFmtId="172" formatCode="0.00000"/>
    <numFmt numFmtId="173" formatCode="0.00000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5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165" fontId="1" fillId="0" borderId="0" xfId="0" applyNumberFormat="1" applyFont="1"/>
    <xf numFmtId="2" fontId="0" fillId="0" borderId="0" xfId="0" applyNumberFormat="1"/>
    <xf numFmtId="167" fontId="1" fillId="0" borderId="0" xfId="0" applyNumberFormat="1" applyFont="1"/>
    <xf numFmtId="0" fontId="0" fillId="0" borderId="0" xfId="0" applyAlignment="1">
      <alignment horizontal="center"/>
    </xf>
    <xf numFmtId="168" fontId="0" fillId="0" borderId="0" xfId="0" applyNumberFormat="1"/>
    <xf numFmtId="168" fontId="1" fillId="0" borderId="0" xfId="0" applyNumberFormat="1" applyFont="1"/>
    <xf numFmtId="169" fontId="0" fillId="0" borderId="0" xfId="0" applyNumberFormat="1"/>
    <xf numFmtId="164" fontId="1" fillId="0" borderId="0" xfId="0" applyNumberFormat="1" applyFont="1"/>
    <xf numFmtId="167" fontId="0" fillId="0" borderId="0" xfId="0" applyNumberFormat="1"/>
    <xf numFmtId="168" fontId="4" fillId="0" borderId="0" xfId="0" applyNumberFormat="1" applyFont="1"/>
    <xf numFmtId="169" fontId="1" fillId="0" borderId="0" xfId="0" applyNumberFormat="1" applyFont="1"/>
    <xf numFmtId="170" fontId="0" fillId="0" borderId="0" xfId="0" applyNumberFormat="1"/>
    <xf numFmtId="171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72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165" fontId="0" fillId="3" borderId="0" xfId="0" applyNumberFormat="1" applyFill="1"/>
    <xf numFmtId="166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2" fontId="1" fillId="3" borderId="0" xfId="0" applyNumberFormat="1" applyFont="1" applyFill="1" applyAlignment="1">
      <alignment horizontal="center"/>
    </xf>
    <xf numFmtId="165" fontId="0" fillId="3" borderId="5" xfId="0" applyNumberFormat="1" applyFont="1" applyFill="1" applyBorder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9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169" fontId="0" fillId="2" borderId="7" xfId="0" applyNumberFormat="1" applyFill="1" applyBorder="1" applyAlignment="1">
      <alignment horizontal="center"/>
    </xf>
    <xf numFmtId="169" fontId="0" fillId="4" borderId="7" xfId="0" applyNumberFormat="1" applyFill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169" fontId="0" fillId="0" borderId="9" xfId="0" applyNumberFormat="1" applyBorder="1"/>
    <xf numFmtId="169" fontId="0" fillId="0" borderId="10" xfId="0" applyNumberFormat="1" applyBorder="1"/>
    <xf numFmtId="0" fontId="0" fillId="0" borderId="11" xfId="0" applyBorder="1"/>
    <xf numFmtId="0" fontId="0" fillId="0" borderId="0" xfId="0" applyBorder="1"/>
    <xf numFmtId="169" fontId="0" fillId="0" borderId="0" xfId="0" applyNumberFormat="1" applyBorder="1"/>
    <xf numFmtId="169" fontId="0" fillId="0" borderId="12" xfId="0" applyNumberFormat="1" applyBorder="1"/>
    <xf numFmtId="0" fontId="0" fillId="0" borderId="13" xfId="0" applyBorder="1"/>
    <xf numFmtId="0" fontId="0" fillId="0" borderId="14" xfId="0" applyBorder="1"/>
    <xf numFmtId="169" fontId="0" fillId="0" borderId="14" xfId="0" applyNumberFormat="1" applyBorder="1"/>
    <xf numFmtId="169" fontId="0" fillId="0" borderId="15" xfId="0" applyNumberFormat="1" applyBorder="1"/>
    <xf numFmtId="0" fontId="0" fillId="0" borderId="16" xfId="0" applyBorder="1"/>
    <xf numFmtId="0" fontId="0" fillId="0" borderId="17" xfId="0" applyBorder="1"/>
    <xf numFmtId="169" fontId="1" fillId="0" borderId="17" xfId="0" applyNumberFormat="1" applyFont="1" applyBorder="1"/>
    <xf numFmtId="0" fontId="0" fillId="0" borderId="18" xfId="0" applyBorder="1"/>
    <xf numFmtId="0" fontId="5" fillId="0" borderId="0" xfId="0" applyFont="1"/>
    <xf numFmtId="169" fontId="5" fillId="0" borderId="0" xfId="0" applyNumberFormat="1" applyFont="1"/>
    <xf numFmtId="0" fontId="0" fillId="0" borderId="10" xfId="0" applyBorder="1"/>
    <xf numFmtId="2" fontId="0" fillId="0" borderId="12" xfId="0" applyNumberFormat="1" applyBorder="1"/>
    <xf numFmtId="169" fontId="0" fillId="0" borderId="18" xfId="0" applyNumberFormat="1" applyBorder="1"/>
    <xf numFmtId="0" fontId="0" fillId="0" borderId="12" xfId="0" applyBorder="1"/>
    <xf numFmtId="0" fontId="0" fillId="0" borderId="15" xfId="0" applyBorder="1"/>
    <xf numFmtId="0" fontId="5" fillId="0" borderId="8" xfId="0" applyFont="1" applyBorder="1"/>
    <xf numFmtId="0" fontId="5" fillId="0" borderId="16" xfId="0" applyFont="1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4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4" borderId="11" xfId="0" applyNumberFormat="1" applyFill="1" applyBorder="1" applyAlignment="1">
      <alignment horizontal="center"/>
    </xf>
    <xf numFmtId="2" fontId="0" fillId="4" borderId="13" xfId="0" applyNumberFormat="1" applyFill="1" applyBorder="1" applyAlignment="1">
      <alignment horizontal="center"/>
    </xf>
    <xf numFmtId="169" fontId="4" fillId="0" borderId="18" xfId="0" applyNumberFormat="1" applyFont="1" applyBorder="1"/>
    <xf numFmtId="169" fontId="4" fillId="0" borderId="10" xfId="0" applyNumberFormat="1" applyFont="1" applyBorder="1"/>
    <xf numFmtId="169" fontId="4" fillId="0" borderId="15" xfId="0" applyNumberFormat="1" applyFont="1" applyBorder="1"/>
    <xf numFmtId="169" fontId="0" fillId="3" borderId="0" xfId="0" applyNumberFormat="1" applyFill="1"/>
    <xf numFmtId="169" fontId="0" fillId="3" borderId="2" xfId="0" applyNumberFormat="1" applyFill="1" applyBorder="1"/>
    <xf numFmtId="169" fontId="0" fillId="3" borderId="4" xfId="0" applyNumberFormat="1" applyFill="1" applyBorder="1"/>
    <xf numFmtId="169" fontId="0" fillId="3" borderId="3" xfId="0" applyNumberFormat="1" applyFill="1" applyBorder="1"/>
    <xf numFmtId="169" fontId="0" fillId="3" borderId="1" xfId="0" applyNumberFormat="1" applyFill="1" applyBorder="1"/>
    <xf numFmtId="169" fontId="1" fillId="3" borderId="5" xfId="0" applyNumberFormat="1" applyFont="1" applyFill="1" applyBorder="1"/>
    <xf numFmtId="169" fontId="0" fillId="0" borderId="19" xfId="0" applyNumberFormat="1" applyBorder="1"/>
    <xf numFmtId="169" fontId="0" fillId="0" borderId="0" xfId="0" applyNumberFormat="1" applyAlignment="1">
      <alignment horizontal="center"/>
    </xf>
    <xf numFmtId="169" fontId="0" fillId="0" borderId="2" xfId="0" applyNumberFormat="1" applyBorder="1"/>
    <xf numFmtId="169" fontId="0" fillId="0" borderId="4" xfId="0" applyNumberFormat="1" applyBorder="1"/>
    <xf numFmtId="169" fontId="0" fillId="0" borderId="6" xfId="0" applyNumberFormat="1" applyBorder="1"/>
    <xf numFmtId="169" fontId="0" fillId="0" borderId="3" xfId="0" applyNumberFormat="1" applyBorder="1"/>
    <xf numFmtId="169" fontId="0" fillId="0" borderId="1" xfId="0" applyNumberFormat="1" applyBorder="1"/>
    <xf numFmtId="169" fontId="1" fillId="0" borderId="5" xfId="0" applyNumberFormat="1" applyFont="1" applyBorder="1"/>
    <xf numFmtId="169" fontId="1" fillId="0" borderId="18" xfId="0" applyNumberFormat="1" applyFont="1" applyBorder="1"/>
    <xf numFmtId="169" fontId="0" fillId="0" borderId="17" xfId="0" applyNumberFormat="1" applyBorder="1"/>
    <xf numFmtId="0" fontId="0" fillId="0" borderId="0" xfId="0" applyAlignment="1">
      <alignment horizontal="center"/>
    </xf>
    <xf numFmtId="172" fontId="4" fillId="0" borderId="10" xfId="0" applyNumberFormat="1" applyFont="1" applyBorder="1"/>
    <xf numFmtId="172" fontId="4" fillId="0" borderId="15" xfId="0" applyNumberFormat="1" applyFont="1" applyBorder="1"/>
    <xf numFmtId="173" fontId="0" fillId="0" borderId="7" xfId="0" applyNumberFormat="1" applyBorder="1" applyAlignment="1">
      <alignment horizontal="center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2143125</xdr:colOff>
      <xdr:row>6</xdr:row>
      <xdr:rowOff>104775</xdr:rowOff>
    </xdr:from>
    <xdr:to>
      <xdr:col>6</xdr:col>
      <xdr:colOff>2305050</xdr:colOff>
      <xdr:row>24</xdr:row>
      <xdr:rowOff>85725</xdr:rowOff>
    </xdr:to>
    <xdr:sp macro="" textlink="">
      <xdr:nvSpPr>
        <xdr:cNvPr id="24" name="Левая круглая скобка 23"/>
        <xdr:cNvSpPr/>
      </xdr:nvSpPr>
      <xdr:spPr>
        <a:xfrm>
          <a:off x="8248650" y="1247775"/>
          <a:ext cx="161925" cy="3409950"/>
        </a:xfrm>
        <a:prstGeom prst="leftBracket">
          <a:avLst/>
        </a:prstGeom>
        <a:ln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1885950</xdr:colOff>
      <xdr:row>9</xdr:row>
      <xdr:rowOff>123825</xdr:rowOff>
    </xdr:from>
    <xdr:to>
      <xdr:col>6</xdr:col>
      <xdr:colOff>2324100</xdr:colOff>
      <xdr:row>25</xdr:row>
      <xdr:rowOff>104775</xdr:rowOff>
    </xdr:to>
    <xdr:sp macro="" textlink="">
      <xdr:nvSpPr>
        <xdr:cNvPr id="25" name="Левая круглая скобка 24"/>
        <xdr:cNvSpPr/>
      </xdr:nvSpPr>
      <xdr:spPr>
        <a:xfrm>
          <a:off x="7991475" y="1838325"/>
          <a:ext cx="438150" cy="3028950"/>
        </a:xfrm>
        <a:prstGeom prst="leftBracket">
          <a:avLst/>
        </a:prstGeom>
        <a:ln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9525</xdr:colOff>
      <xdr:row>15</xdr:row>
      <xdr:rowOff>104775</xdr:rowOff>
    </xdr:from>
    <xdr:to>
      <xdr:col>8</xdr:col>
      <xdr:colOff>85725</xdr:colOff>
      <xdr:row>26</xdr:row>
      <xdr:rowOff>85725</xdr:rowOff>
    </xdr:to>
    <xdr:sp macro="" textlink="">
      <xdr:nvSpPr>
        <xdr:cNvPr id="26" name="Правая круглая скобка 25"/>
        <xdr:cNvSpPr/>
      </xdr:nvSpPr>
      <xdr:spPr>
        <a:xfrm>
          <a:off x="9458325" y="2962275"/>
          <a:ext cx="76200" cy="207645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9526</xdr:colOff>
      <xdr:row>19</xdr:row>
      <xdr:rowOff>95250</xdr:rowOff>
    </xdr:from>
    <xdr:to>
      <xdr:col>8</xdr:col>
      <xdr:colOff>219076</xdr:colOff>
      <xdr:row>27</xdr:row>
      <xdr:rowOff>85725</xdr:rowOff>
    </xdr:to>
    <xdr:sp macro="" textlink="">
      <xdr:nvSpPr>
        <xdr:cNvPr id="27" name="Правая круглая скобка 26"/>
        <xdr:cNvSpPr/>
      </xdr:nvSpPr>
      <xdr:spPr>
        <a:xfrm>
          <a:off x="9458326" y="3714750"/>
          <a:ext cx="209550" cy="1514475"/>
        </a:xfrm>
        <a:prstGeom prst="rightBracket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2019300</xdr:colOff>
      <xdr:row>21</xdr:row>
      <xdr:rowOff>85725</xdr:rowOff>
    </xdr:from>
    <xdr:to>
      <xdr:col>7</xdr:col>
      <xdr:colOff>0</xdr:colOff>
      <xdr:row>28</xdr:row>
      <xdr:rowOff>114300</xdr:rowOff>
    </xdr:to>
    <xdr:sp macro="" textlink="">
      <xdr:nvSpPr>
        <xdr:cNvPr id="28" name="Левая круглая скобка 27"/>
        <xdr:cNvSpPr/>
      </xdr:nvSpPr>
      <xdr:spPr>
        <a:xfrm>
          <a:off x="8124825" y="4086225"/>
          <a:ext cx="323850" cy="1362075"/>
        </a:xfrm>
        <a:prstGeom prst="leftBracket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485775</xdr:colOff>
      <xdr:row>2</xdr:row>
      <xdr:rowOff>9525</xdr:rowOff>
    </xdr:from>
    <xdr:to>
      <xdr:col>6</xdr:col>
      <xdr:colOff>2333625</xdr:colOff>
      <xdr:row>15</xdr:row>
      <xdr:rowOff>0</xdr:rowOff>
    </xdr:to>
    <xdr:sp macro="" textlink="">
      <xdr:nvSpPr>
        <xdr:cNvPr id="3" name="Полилиния 2"/>
        <xdr:cNvSpPr/>
      </xdr:nvSpPr>
      <xdr:spPr>
        <a:xfrm>
          <a:off x="4505325" y="390525"/>
          <a:ext cx="3933825" cy="2466975"/>
        </a:xfrm>
        <a:custGeom>
          <a:avLst/>
          <a:gdLst>
            <a:gd name="connsiteX0" fmla="*/ 0 w 3933825"/>
            <a:gd name="connsiteY0" fmla="*/ 1390650 h 1390650"/>
            <a:gd name="connsiteX1" fmla="*/ 0 w 3933825"/>
            <a:gd name="connsiteY1" fmla="*/ 0 h 1390650"/>
            <a:gd name="connsiteX2" fmla="*/ 3457575 w 3933825"/>
            <a:gd name="connsiteY2" fmla="*/ 0 h 1390650"/>
            <a:gd name="connsiteX3" fmla="*/ 3933825 w 3933825"/>
            <a:gd name="connsiteY3" fmla="*/ 114300 h 13906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933825" h="1390650">
              <a:moveTo>
                <a:pt x="0" y="1390650"/>
              </a:moveTo>
              <a:lnTo>
                <a:pt x="0" y="0"/>
              </a:lnTo>
              <a:lnTo>
                <a:pt x="3457575" y="0"/>
              </a:lnTo>
              <a:lnTo>
                <a:pt x="3933825" y="114300"/>
              </a:lnTo>
            </a:path>
          </a:pathLst>
        </a:custGeom>
        <a:noFill/>
        <a:ln w="12700"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971550</xdr:colOff>
      <xdr:row>27</xdr:row>
      <xdr:rowOff>0</xdr:rowOff>
    </xdr:to>
    <xdr:sp macro="" textlink="">
      <xdr:nvSpPr>
        <xdr:cNvPr id="4" name="Прямоугольник 3"/>
        <xdr:cNvSpPr/>
      </xdr:nvSpPr>
      <xdr:spPr>
        <a:xfrm>
          <a:off x="4019550" y="2857500"/>
          <a:ext cx="971550" cy="2286000"/>
        </a:xfrm>
        <a:prstGeom prst="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971550</xdr:colOff>
      <xdr:row>59</xdr:row>
      <xdr:rowOff>95250</xdr:rowOff>
    </xdr:from>
    <xdr:to>
      <xdr:col>8</xdr:col>
      <xdr:colOff>866775</xdr:colOff>
      <xdr:row>59</xdr:row>
      <xdr:rowOff>95250</xdr:rowOff>
    </xdr:to>
    <xdr:cxnSp macro="">
      <xdr:nvCxnSpPr>
        <xdr:cNvPr id="5" name="Прямая соединительная линия 4"/>
        <xdr:cNvCxnSpPr/>
      </xdr:nvCxnSpPr>
      <xdr:spPr>
        <a:xfrm>
          <a:off x="2047875" y="11268075"/>
          <a:ext cx="826770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828675</xdr:colOff>
      <xdr:row>11</xdr:row>
      <xdr:rowOff>95250</xdr:rowOff>
    </xdr:from>
    <xdr:to>
      <xdr:col>8</xdr:col>
      <xdr:colOff>847727</xdr:colOff>
      <xdr:row>59</xdr:row>
      <xdr:rowOff>104776</xdr:rowOff>
    </xdr:to>
    <xdr:cxnSp macro="">
      <xdr:nvCxnSpPr>
        <xdr:cNvPr id="8" name="Прямая соединительная линия 7"/>
        <xdr:cNvCxnSpPr/>
      </xdr:nvCxnSpPr>
      <xdr:spPr>
        <a:xfrm flipH="1" flipV="1">
          <a:off x="10277475" y="2190750"/>
          <a:ext cx="19052" cy="9086851"/>
        </a:xfrm>
        <a:prstGeom prst="lin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990600</xdr:colOff>
      <xdr:row>11</xdr:row>
      <xdr:rowOff>123825</xdr:rowOff>
    </xdr:from>
    <xdr:to>
      <xdr:col>8</xdr:col>
      <xdr:colOff>828675</xdr:colOff>
      <xdr:row>11</xdr:row>
      <xdr:rowOff>123825</xdr:rowOff>
    </xdr:to>
    <xdr:cxnSp macro="">
      <xdr:nvCxnSpPr>
        <xdr:cNvPr id="15" name="Прямая со стрелкой 14"/>
        <xdr:cNvCxnSpPr/>
      </xdr:nvCxnSpPr>
      <xdr:spPr>
        <a:xfrm flipH="1">
          <a:off x="9439275" y="2219325"/>
          <a:ext cx="838200" cy="0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2143125</xdr:colOff>
      <xdr:row>6</xdr:row>
      <xdr:rowOff>104775</xdr:rowOff>
    </xdr:from>
    <xdr:to>
      <xdr:col>7</xdr:col>
      <xdr:colOff>2333625</xdr:colOff>
      <xdr:row>22</xdr:row>
      <xdr:rowOff>57150</xdr:rowOff>
    </xdr:to>
    <xdr:sp macro="" textlink="">
      <xdr:nvSpPr>
        <xdr:cNvPr id="2" name="Левая круглая скобка 1"/>
        <xdr:cNvSpPr/>
      </xdr:nvSpPr>
      <xdr:spPr>
        <a:xfrm>
          <a:off x="8248650" y="1247775"/>
          <a:ext cx="190500" cy="3000375"/>
        </a:xfrm>
        <a:prstGeom prst="leftBracket">
          <a:avLst/>
        </a:prstGeom>
        <a:ln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1885950</xdr:colOff>
      <xdr:row>9</xdr:row>
      <xdr:rowOff>123825</xdr:rowOff>
    </xdr:from>
    <xdr:to>
      <xdr:col>7</xdr:col>
      <xdr:colOff>2324100</xdr:colOff>
      <xdr:row>23</xdr:row>
      <xdr:rowOff>114300</xdr:rowOff>
    </xdr:to>
    <xdr:sp macro="" textlink="">
      <xdr:nvSpPr>
        <xdr:cNvPr id="3" name="Левая круглая скобка 2"/>
        <xdr:cNvSpPr/>
      </xdr:nvSpPr>
      <xdr:spPr>
        <a:xfrm>
          <a:off x="7991475" y="1838325"/>
          <a:ext cx="438150" cy="2657475"/>
        </a:xfrm>
        <a:prstGeom prst="leftBracket">
          <a:avLst/>
        </a:prstGeom>
        <a:ln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9525</xdr:colOff>
      <xdr:row>13</xdr:row>
      <xdr:rowOff>104775</xdr:rowOff>
    </xdr:from>
    <xdr:to>
      <xdr:col>9</xdr:col>
      <xdr:colOff>85725</xdr:colOff>
      <xdr:row>24</xdr:row>
      <xdr:rowOff>85725</xdr:rowOff>
    </xdr:to>
    <xdr:sp macro="" textlink="">
      <xdr:nvSpPr>
        <xdr:cNvPr id="4" name="Правая круглая скобка 3"/>
        <xdr:cNvSpPr/>
      </xdr:nvSpPr>
      <xdr:spPr>
        <a:xfrm>
          <a:off x="9458325" y="2581275"/>
          <a:ext cx="76200" cy="207645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9526</xdr:colOff>
      <xdr:row>17</xdr:row>
      <xdr:rowOff>95250</xdr:rowOff>
    </xdr:from>
    <xdr:to>
      <xdr:col>9</xdr:col>
      <xdr:colOff>219076</xdr:colOff>
      <xdr:row>25</xdr:row>
      <xdr:rowOff>85725</xdr:rowOff>
    </xdr:to>
    <xdr:sp macro="" textlink="">
      <xdr:nvSpPr>
        <xdr:cNvPr id="5" name="Правая круглая скобка 4"/>
        <xdr:cNvSpPr/>
      </xdr:nvSpPr>
      <xdr:spPr>
        <a:xfrm>
          <a:off x="9458326" y="3333750"/>
          <a:ext cx="209550" cy="1514475"/>
        </a:xfrm>
        <a:prstGeom prst="rightBracket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2019300</xdr:colOff>
      <xdr:row>19</xdr:row>
      <xdr:rowOff>85725</xdr:rowOff>
    </xdr:from>
    <xdr:to>
      <xdr:col>8</xdr:col>
      <xdr:colOff>0</xdr:colOff>
      <xdr:row>26</xdr:row>
      <xdr:rowOff>114300</xdr:rowOff>
    </xdr:to>
    <xdr:sp macro="" textlink="">
      <xdr:nvSpPr>
        <xdr:cNvPr id="6" name="Левая круглая скобка 5"/>
        <xdr:cNvSpPr/>
      </xdr:nvSpPr>
      <xdr:spPr>
        <a:xfrm>
          <a:off x="8124825" y="3705225"/>
          <a:ext cx="323850" cy="1362075"/>
        </a:xfrm>
        <a:prstGeom prst="leftBracket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485775</xdr:colOff>
      <xdr:row>7</xdr:row>
      <xdr:rowOff>133350</xdr:rowOff>
    </xdr:from>
    <xdr:to>
      <xdr:col>7</xdr:col>
      <xdr:colOff>2333625</xdr:colOff>
      <xdr:row>15</xdr:row>
      <xdr:rowOff>0</xdr:rowOff>
    </xdr:to>
    <xdr:sp macro="" textlink="">
      <xdr:nvSpPr>
        <xdr:cNvPr id="7" name="Полилиния 6"/>
        <xdr:cNvSpPr/>
      </xdr:nvSpPr>
      <xdr:spPr>
        <a:xfrm>
          <a:off x="4505325" y="1466850"/>
          <a:ext cx="3933825" cy="1390650"/>
        </a:xfrm>
        <a:custGeom>
          <a:avLst/>
          <a:gdLst>
            <a:gd name="connsiteX0" fmla="*/ 0 w 3933825"/>
            <a:gd name="connsiteY0" fmla="*/ 1390650 h 1390650"/>
            <a:gd name="connsiteX1" fmla="*/ 0 w 3933825"/>
            <a:gd name="connsiteY1" fmla="*/ 0 h 1390650"/>
            <a:gd name="connsiteX2" fmla="*/ 3457575 w 3933825"/>
            <a:gd name="connsiteY2" fmla="*/ 0 h 1390650"/>
            <a:gd name="connsiteX3" fmla="*/ 3933825 w 3933825"/>
            <a:gd name="connsiteY3" fmla="*/ 114300 h 13906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933825" h="1390650">
              <a:moveTo>
                <a:pt x="0" y="1390650"/>
              </a:moveTo>
              <a:lnTo>
                <a:pt x="0" y="0"/>
              </a:lnTo>
              <a:lnTo>
                <a:pt x="3457575" y="0"/>
              </a:lnTo>
              <a:lnTo>
                <a:pt x="3933825" y="114300"/>
              </a:lnTo>
            </a:path>
          </a:pathLst>
        </a:custGeom>
        <a:noFill/>
        <a:ln w="12700"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971550</xdr:colOff>
      <xdr:row>25</xdr:row>
      <xdr:rowOff>180975</xdr:rowOff>
    </xdr:to>
    <xdr:sp macro="" textlink="">
      <xdr:nvSpPr>
        <xdr:cNvPr id="8" name="Прямоугольник 7"/>
        <xdr:cNvSpPr/>
      </xdr:nvSpPr>
      <xdr:spPr>
        <a:xfrm>
          <a:off x="4019550" y="2857500"/>
          <a:ext cx="971550" cy="2085975"/>
        </a:xfrm>
        <a:prstGeom prst="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0"/>
  <sheetViews>
    <sheetView zoomScaleNormal="100" workbookViewId="0">
      <selection activeCell="B40" sqref="B40"/>
    </sheetView>
  </sheetViews>
  <sheetFormatPr defaultRowHeight="15" x14ac:dyDescent="0.25"/>
  <cols>
    <col min="1" max="1" width="16.140625" customWidth="1"/>
    <col min="2" max="5" width="14.7109375" customWidth="1"/>
    <col min="6" max="6" width="16.5703125" customWidth="1"/>
    <col min="7" max="7" width="35.140625" customWidth="1"/>
    <col min="8" max="12" width="15" customWidth="1"/>
    <col min="14" max="14" width="12.85546875" customWidth="1"/>
    <col min="15" max="15" width="18.7109375" customWidth="1"/>
    <col min="16" max="16" width="22.7109375" customWidth="1"/>
    <col min="20" max="20" width="27.85546875" customWidth="1"/>
    <col min="21" max="21" width="16.7109375" bestFit="1" customWidth="1"/>
    <col min="22" max="22" width="9.7109375" customWidth="1"/>
    <col min="23" max="23" width="16.85546875" customWidth="1"/>
    <col min="24" max="24" width="11.5703125" customWidth="1"/>
    <col min="25" max="25" width="14.42578125" customWidth="1"/>
    <col min="27" max="27" width="16.28515625" customWidth="1"/>
  </cols>
  <sheetData>
    <row r="1" spans="1:16" x14ac:dyDescent="0.25">
      <c r="A1" s="51" t="s">
        <v>24</v>
      </c>
      <c r="B1" s="51" t="s">
        <v>26</v>
      </c>
      <c r="C1" s="51" t="s">
        <v>27</v>
      </c>
      <c r="D1" s="51" t="s">
        <v>0</v>
      </c>
      <c r="E1" s="47" t="s">
        <v>69</v>
      </c>
      <c r="F1" s="46">
        <v>12</v>
      </c>
      <c r="G1" t="s">
        <v>10</v>
      </c>
      <c r="H1" s="22">
        <f xml:space="preserve"> SUM(B16:C27)^2/24</f>
        <v>442.27201178479532</v>
      </c>
      <c r="J1" s="58" t="s">
        <v>6</v>
      </c>
      <c r="K1" s="61">
        <f>SQRT(2*J29/12)</f>
        <v>7.6490677130244891E-2</v>
      </c>
    </row>
    <row r="2" spans="1:16" x14ac:dyDescent="0.25">
      <c r="A2" s="83">
        <v>1</v>
      </c>
      <c r="B2" s="98">
        <v>75.494498427693117</v>
      </c>
      <c r="C2" s="87">
        <v>51.17566057796175</v>
      </c>
      <c r="D2" s="96" t="s">
        <v>1</v>
      </c>
      <c r="H2" s="22"/>
      <c r="J2" s="62"/>
      <c r="K2" s="65"/>
    </row>
    <row r="3" spans="1:16" x14ac:dyDescent="0.25">
      <c r="A3" s="83">
        <v>2</v>
      </c>
      <c r="B3" s="98">
        <v>50.322663819517587</v>
      </c>
      <c r="C3" s="87">
        <v>71.570376309989598</v>
      </c>
      <c r="D3" s="96" t="s">
        <v>1</v>
      </c>
      <c r="G3" t="s">
        <v>28</v>
      </c>
      <c r="H3" s="22">
        <f>SUMSQ(B16:C27) - H1</f>
        <v>1.3760275060306526</v>
      </c>
      <c r="J3" s="62" t="s">
        <v>7</v>
      </c>
      <c r="K3" s="65">
        <f>_xlfn.T.INV(1 - 0.1/2, F1 - 2)</f>
        <v>1.8124611228116754</v>
      </c>
    </row>
    <row r="4" spans="1:16" x14ac:dyDescent="0.25">
      <c r="A4" s="83">
        <v>3</v>
      </c>
      <c r="B4" s="98">
        <v>54.804984686069659</v>
      </c>
      <c r="C4" s="87">
        <v>61.914929518896137</v>
      </c>
      <c r="D4" s="96" t="s">
        <v>1</v>
      </c>
      <c r="G4" t="s">
        <v>68</v>
      </c>
      <c r="H4" s="22">
        <f>SUM(E16:E27)-H1</f>
        <v>1.0140762988876304</v>
      </c>
      <c r="J4" s="62"/>
      <c r="K4" s="65"/>
    </row>
    <row r="5" spans="1:16" x14ac:dyDescent="0.25">
      <c r="A5" s="83">
        <v>4</v>
      </c>
      <c r="B5" s="98">
        <v>101.50208956054119</v>
      </c>
      <c r="C5" s="87">
        <v>70.157022279319705</v>
      </c>
      <c r="D5" s="96" t="s">
        <v>1</v>
      </c>
      <c r="G5" t="s">
        <v>13</v>
      </c>
      <c r="H5" s="22">
        <f>SUM(B16:C21)^2/12</f>
        <v>217.94947550018301</v>
      </c>
      <c r="J5" s="62" t="s">
        <v>35</v>
      </c>
      <c r="K5" s="65">
        <f>AVERAGE(B16:B21,C22:C27)-AVERAGE(C16:C21,B22:B27)</f>
        <v>-4.2324545248465739E-2</v>
      </c>
      <c r="L5" s="3"/>
    </row>
    <row r="6" spans="1:16" x14ac:dyDescent="0.25">
      <c r="A6" s="83">
        <v>5</v>
      </c>
      <c r="B6" s="98">
        <v>69.538250803441713</v>
      </c>
      <c r="C6" s="87">
        <v>85.092739584875858</v>
      </c>
      <c r="D6" s="96" t="s">
        <v>1</v>
      </c>
      <c r="G6" t="s">
        <v>14</v>
      </c>
      <c r="H6" s="22">
        <f>SUM(B22:C27)^2/12</f>
        <v>224.34566187192749</v>
      </c>
      <c r="J6" s="62"/>
      <c r="K6" s="65"/>
    </row>
    <row r="7" spans="1:16" x14ac:dyDescent="0.25">
      <c r="A7" s="83">
        <v>6</v>
      </c>
      <c r="B7" s="98">
        <v>75.192798488450322</v>
      </c>
      <c r="C7" s="87">
        <v>108.46499793113531</v>
      </c>
      <c r="D7" s="96" t="s">
        <v>1</v>
      </c>
      <c r="G7" t="s">
        <v>30</v>
      </c>
      <c r="H7" s="112">
        <f>H5+H6-H1</f>
        <v>2.3125587315178109E-2</v>
      </c>
      <c r="J7" s="70" t="s">
        <v>38</v>
      </c>
      <c r="K7" s="118">
        <f>EXP(K5)</f>
        <v>0.95855863443453382</v>
      </c>
    </row>
    <row r="8" spans="1:16" x14ac:dyDescent="0.25">
      <c r="A8" s="83">
        <v>7</v>
      </c>
      <c r="B8" s="99">
        <v>53.088084347410657</v>
      </c>
      <c r="C8" s="89">
        <v>63.811285458942592</v>
      </c>
      <c r="D8" s="96" t="s">
        <v>2</v>
      </c>
      <c r="H8" s="22"/>
      <c r="J8" s="62"/>
      <c r="K8" s="65"/>
    </row>
    <row r="9" spans="1:16" x14ac:dyDescent="0.25">
      <c r="A9" s="83">
        <v>8</v>
      </c>
      <c r="B9" s="99">
        <v>100.76684457745931</v>
      </c>
      <c r="C9" s="89">
        <v>99.402562743045848</v>
      </c>
      <c r="D9" s="96" t="s">
        <v>2</v>
      </c>
      <c r="H9" s="22"/>
      <c r="J9" s="62" t="s">
        <v>8</v>
      </c>
      <c r="K9" s="65">
        <f>K5+K1*K3</f>
        <v>9.6311833307643258E-2</v>
      </c>
    </row>
    <row r="10" spans="1:16" x14ac:dyDescent="0.25">
      <c r="A10" s="83">
        <v>9</v>
      </c>
      <c r="B10" s="99">
        <v>92.121521788859056</v>
      </c>
      <c r="C10" s="89">
        <v>69.980720224820985</v>
      </c>
      <c r="D10" s="96" t="s">
        <v>2</v>
      </c>
      <c r="G10" t="s">
        <v>34</v>
      </c>
      <c r="H10" s="113">
        <f>H4-H7</f>
        <v>0.99095071157245229</v>
      </c>
      <c r="J10" s="62" t="s">
        <v>9</v>
      </c>
      <c r="K10" s="65">
        <f>K5-K3*K1</f>
        <v>-0.18096092380457474</v>
      </c>
    </row>
    <row r="11" spans="1:16" x14ac:dyDescent="0.25">
      <c r="A11" s="83">
        <v>10</v>
      </c>
      <c r="B11" s="99">
        <v>69.499539157041895</v>
      </c>
      <c r="C11" s="89">
        <v>71.777970437753766</v>
      </c>
      <c r="D11" s="96" t="s">
        <v>2</v>
      </c>
      <c r="H11" s="22"/>
      <c r="J11" s="62"/>
      <c r="K11" s="65"/>
    </row>
    <row r="12" spans="1:16" x14ac:dyDescent="0.25">
      <c r="A12" s="83">
        <v>11</v>
      </c>
      <c r="B12" s="99">
        <v>102.5032597702746</v>
      </c>
      <c r="C12" s="89">
        <v>96.246324851463712</v>
      </c>
      <c r="D12" s="96" t="s">
        <v>2</v>
      </c>
      <c r="G12" t="s">
        <v>54</v>
      </c>
      <c r="H12" s="114">
        <f>H27+H28+H29</f>
        <v>0.3619512071430222</v>
      </c>
      <c r="J12" s="62"/>
      <c r="K12" s="65"/>
      <c r="O12" s="1"/>
      <c r="P12" s="1"/>
    </row>
    <row r="13" spans="1:16" x14ac:dyDescent="0.25">
      <c r="A13" s="85">
        <v>12</v>
      </c>
      <c r="B13" s="100">
        <v>58.889730339605144</v>
      </c>
      <c r="C13" s="91">
        <v>53.911547942590339</v>
      </c>
      <c r="D13" s="97" t="s">
        <v>2</v>
      </c>
      <c r="H13" s="22"/>
      <c r="J13" s="62"/>
      <c r="K13" s="65"/>
    </row>
    <row r="14" spans="1:16" x14ac:dyDescent="0.25">
      <c r="A14" s="120" t="s">
        <v>25</v>
      </c>
      <c r="B14" s="120"/>
      <c r="C14" s="120"/>
      <c r="D14" s="120"/>
      <c r="G14" t="s">
        <v>15</v>
      </c>
      <c r="H14" s="22">
        <f>SUM(B16:B21,C22:C27)^2/12</f>
        <v>218.96109806984452</v>
      </c>
      <c r="J14" s="58" t="s">
        <v>36</v>
      </c>
      <c r="K14" s="102">
        <f>EXP(K9)*100</f>
        <v>110.11023708582981</v>
      </c>
    </row>
    <row r="15" spans="1:16" x14ac:dyDescent="0.25">
      <c r="A15" s="51"/>
      <c r="B15" s="51" t="s">
        <v>26</v>
      </c>
      <c r="C15" s="51" t="s">
        <v>27</v>
      </c>
      <c r="D15" s="51" t="s">
        <v>0</v>
      </c>
      <c r="G15" t="s">
        <v>16</v>
      </c>
      <c r="H15" s="22">
        <f>SUM(B22:B27,C16:C21)^2/12</f>
        <v>223.32166191773391</v>
      </c>
      <c r="J15" s="66" t="s">
        <v>37</v>
      </c>
      <c r="K15" s="103">
        <f>EXP(K10)</f>
        <v>0.83446796589201411</v>
      </c>
    </row>
    <row r="16" spans="1:16" x14ac:dyDescent="0.25">
      <c r="A16" s="83">
        <v>1</v>
      </c>
      <c r="B16" s="98">
        <f t="shared" ref="B16:C27" si="0">LN(B2)</f>
        <v>4.3240597850925644</v>
      </c>
      <c r="C16" s="87">
        <f t="shared" si="0"/>
        <v>3.9352640396801983</v>
      </c>
      <c r="D16" s="96" t="s">
        <v>1</v>
      </c>
      <c r="E16" s="111">
        <f>(B16+C16)^2/2</f>
        <v>34.108215021229483</v>
      </c>
      <c r="G16" t="s">
        <v>31</v>
      </c>
      <c r="H16" s="115">
        <f>H14+H15-H1</f>
        <v>1.0748202783076977E-2</v>
      </c>
      <c r="J16" s="62"/>
      <c r="K16" s="65"/>
    </row>
    <row r="17" spans="1:12" x14ac:dyDescent="0.25">
      <c r="A17" s="83">
        <v>2</v>
      </c>
      <c r="B17" s="98">
        <f t="shared" si="0"/>
        <v>3.9184555485808175</v>
      </c>
      <c r="C17" s="87">
        <f t="shared" si="0"/>
        <v>4.270681249665838</v>
      </c>
      <c r="D17" s="96" t="s">
        <v>1</v>
      </c>
      <c r="E17" s="111">
        <f t="shared" ref="E17:E27" si="1">(B17+C17)^2/2</f>
        <v>33.530980750198744</v>
      </c>
      <c r="H17" s="22"/>
      <c r="J17" s="62"/>
      <c r="K17" s="65"/>
    </row>
    <row r="18" spans="1:12" x14ac:dyDescent="0.25">
      <c r="A18" s="83">
        <v>3</v>
      </c>
      <c r="B18" s="98">
        <f t="shared" si="0"/>
        <v>4.0037811512418591</v>
      </c>
      <c r="C18" s="87">
        <f t="shared" si="0"/>
        <v>4.1257613383137715</v>
      </c>
      <c r="D18" s="96" t="s">
        <v>1</v>
      </c>
      <c r="E18" s="111">
        <f t="shared" si="1"/>
        <v>33.044730544745178</v>
      </c>
      <c r="G18" t="s">
        <v>11</v>
      </c>
      <c r="H18" s="22">
        <f>SUM(B16:B27)^2/12</f>
        <v>220.87545747066204</v>
      </c>
      <c r="J18" s="62" t="s">
        <v>40</v>
      </c>
      <c r="K18" s="65">
        <f>SQRT(EXP((J26-J29)/2)-1)</f>
        <v>0.180311977813815</v>
      </c>
    </row>
    <row r="19" spans="1:12" x14ac:dyDescent="0.25">
      <c r="A19" s="83">
        <v>4</v>
      </c>
      <c r="B19" s="98">
        <f t="shared" si="0"/>
        <v>4.6200793850732982</v>
      </c>
      <c r="C19" s="87">
        <f t="shared" si="0"/>
        <v>4.2507359053063434</v>
      </c>
      <c r="D19" s="96" t="s">
        <v>1</v>
      </c>
      <c r="E19" s="111">
        <f t="shared" si="1"/>
        <v>39.345681958016627</v>
      </c>
      <c r="G19" t="s">
        <v>12</v>
      </c>
      <c r="H19" s="22">
        <f>SUM(C16:C27)^2/12</f>
        <v>221.39670789722263</v>
      </c>
      <c r="J19" s="66" t="s">
        <v>39</v>
      </c>
      <c r="K19" s="69">
        <f>SQRT(EXP(J29)-1)</f>
        <v>0.18901956152063212</v>
      </c>
    </row>
    <row r="20" spans="1:12" x14ac:dyDescent="0.25">
      <c r="A20" s="83">
        <v>5</v>
      </c>
      <c r="B20" s="98">
        <f t="shared" si="0"/>
        <v>4.241876972444568</v>
      </c>
      <c r="C20" s="87">
        <f t="shared" si="0"/>
        <v>4.4437417156632586</v>
      </c>
      <c r="D20" s="96" t="s">
        <v>1</v>
      </c>
      <c r="E20" s="111">
        <f t="shared" si="1"/>
        <v>37.719985997603963</v>
      </c>
      <c r="G20" t="s">
        <v>29</v>
      </c>
      <c r="H20" s="116">
        <f>H18+H19-H1</f>
        <v>1.5358308934310116E-4</v>
      </c>
    </row>
    <row r="21" spans="1:12" x14ac:dyDescent="0.25">
      <c r="A21" s="83">
        <v>6</v>
      </c>
      <c r="B21" s="98">
        <f t="shared" si="0"/>
        <v>4.3200554615888089</v>
      </c>
      <c r="C21" s="87">
        <f t="shared" si="0"/>
        <v>4.6864275212209945</v>
      </c>
      <c r="D21" s="96" t="s">
        <v>1</v>
      </c>
      <c r="E21" s="111">
        <f t="shared" si="1"/>
        <v>40.558367859821288</v>
      </c>
      <c r="H21" s="22"/>
    </row>
    <row r="22" spans="1:12" x14ac:dyDescent="0.25">
      <c r="A22" s="83">
        <v>7</v>
      </c>
      <c r="B22" s="99">
        <f t="shared" si="0"/>
        <v>3.9719525028293052</v>
      </c>
      <c r="C22" s="89">
        <f t="shared" si="0"/>
        <v>4.1559300627790945</v>
      </c>
      <c r="D22" s="96" t="s">
        <v>2</v>
      </c>
      <c r="E22" s="111">
        <f t="shared" si="1"/>
        <v>33.031237500160486</v>
      </c>
      <c r="G22" t="s">
        <v>32</v>
      </c>
      <c r="H22" s="117">
        <f>H3-H20-H7-H16-H10</f>
        <v>0.35104942127060212</v>
      </c>
    </row>
    <row r="23" spans="1:12" x14ac:dyDescent="0.25">
      <c r="A23" s="83">
        <v>8</v>
      </c>
      <c r="B23" s="99">
        <f t="shared" si="0"/>
        <v>4.6128093786876194</v>
      </c>
      <c r="C23" s="89">
        <f t="shared" si="0"/>
        <v>4.5991778954533729</v>
      </c>
      <c r="D23" s="96" t="s">
        <v>2</v>
      </c>
      <c r="E23" s="111">
        <f t="shared" si="1"/>
        <v>42.430354769467783</v>
      </c>
    </row>
    <row r="24" spans="1:12" x14ac:dyDescent="0.25">
      <c r="A24" s="83">
        <v>9</v>
      </c>
      <c r="B24" s="99">
        <f t="shared" si="0"/>
        <v>4.5231085944519362</v>
      </c>
      <c r="C24" s="89">
        <f t="shared" si="0"/>
        <v>4.2482197787531284</v>
      </c>
      <c r="D24" s="96" t="s">
        <v>2</v>
      </c>
      <c r="E24" s="111">
        <f t="shared" si="1"/>
        <v>38.46810071529611</v>
      </c>
      <c r="G24" s="2" t="s">
        <v>23</v>
      </c>
      <c r="H24" s="2" t="s">
        <v>3</v>
      </c>
      <c r="I24" s="2" t="s">
        <v>4</v>
      </c>
      <c r="J24" s="2" t="s">
        <v>5</v>
      </c>
      <c r="K24" s="2" t="s">
        <v>22</v>
      </c>
      <c r="L24" s="2" t="s">
        <v>21</v>
      </c>
    </row>
    <row r="25" spans="1:12" x14ac:dyDescent="0.25">
      <c r="A25" s="83">
        <v>10</v>
      </c>
      <c r="B25" s="99">
        <f t="shared" si="0"/>
        <v>4.2413201217148329</v>
      </c>
      <c r="C25" s="89">
        <f t="shared" si="0"/>
        <v>4.2735776105600927</v>
      </c>
      <c r="D25" s="96" t="s">
        <v>2</v>
      </c>
      <c r="E25" s="111">
        <f t="shared" si="1"/>
        <v>36.251741695550329</v>
      </c>
      <c r="G25" t="s">
        <v>19</v>
      </c>
      <c r="H25" s="5">
        <f>H7</f>
        <v>2.3125587315178109E-2</v>
      </c>
      <c r="I25" s="2">
        <v>1</v>
      </c>
      <c r="J25" s="4">
        <f>H25/I25</f>
        <v>2.3125587315178109E-2</v>
      </c>
      <c r="K25" s="4">
        <f>J25/J26</f>
        <v>0.23336768463975524</v>
      </c>
      <c r="L25" s="4">
        <f>_xlfn.F.DIST.RT(K25,1,10)</f>
        <v>0.63943967395750867</v>
      </c>
    </row>
    <row r="26" spans="1:12" ht="15" customHeight="1" x14ac:dyDescent="0.25">
      <c r="A26" s="83">
        <v>11</v>
      </c>
      <c r="B26" s="99">
        <f t="shared" si="0"/>
        <v>4.6298946007095951</v>
      </c>
      <c r="C26" s="89">
        <f t="shared" si="0"/>
        <v>4.5669107890774745</v>
      </c>
      <c r="D26" s="96" t="s">
        <v>2</v>
      </c>
      <c r="E26" s="111">
        <f t="shared" si="1"/>
        <v>42.290614688808247</v>
      </c>
      <c r="G26" t="s">
        <v>74</v>
      </c>
      <c r="H26" s="6">
        <f>H10</f>
        <v>0.99095071157245229</v>
      </c>
      <c r="I26" s="2">
        <f>F1-2</f>
        <v>10</v>
      </c>
      <c r="J26" s="4">
        <f>H26/I26</f>
        <v>9.9095071157245224E-2</v>
      </c>
      <c r="K26" s="4">
        <f>J26/J29</f>
        <v>2.8228239430954369</v>
      </c>
      <c r="L26" s="4">
        <f>_xlfn.F.DIST.RT(K26,10,10)</f>
        <v>5.8515181090185282E-2</v>
      </c>
    </row>
    <row r="27" spans="1:12" x14ac:dyDescent="0.25">
      <c r="A27" s="85">
        <v>12</v>
      </c>
      <c r="B27" s="100">
        <f t="shared" si="0"/>
        <v>4.0756667178936121</v>
      </c>
      <c r="C27" s="91">
        <f t="shared" si="0"/>
        <v>3.9873447025106441</v>
      </c>
      <c r="D27" s="97" t="s">
        <v>2</v>
      </c>
      <c r="E27" s="111">
        <f t="shared" si="1"/>
        <v>32.506076582784736</v>
      </c>
      <c r="G27" t="s">
        <v>17</v>
      </c>
      <c r="H27" s="7">
        <f>H16</f>
        <v>1.0748202783076977E-2</v>
      </c>
      <c r="I27" s="2">
        <v>1</v>
      </c>
      <c r="J27" s="4">
        <f>H27/I27</f>
        <v>1.0748202783076977E-2</v>
      </c>
      <c r="K27" s="4">
        <f>J27/J29</f>
        <v>0.30617349386802883</v>
      </c>
      <c r="L27" s="4">
        <f t="shared" ref="L27:L28" si="2">_xlfn.F.DIST.RT(K27,1,10)</f>
        <v>0.59219265821374945</v>
      </c>
    </row>
    <row r="28" spans="1:12" x14ac:dyDescent="0.25">
      <c r="G28" t="s">
        <v>18</v>
      </c>
      <c r="H28" s="8">
        <f>H20</f>
        <v>1.5358308934310116E-4</v>
      </c>
      <c r="I28" s="2">
        <v>1</v>
      </c>
      <c r="J28" s="4">
        <f>H28/I28</f>
        <v>1.5358308934310116E-4</v>
      </c>
      <c r="K28" s="4">
        <f>J28/J29</f>
        <v>4.3749705892468498E-3</v>
      </c>
      <c r="L28" s="4">
        <f t="shared" si="2"/>
        <v>0.94856722315338504</v>
      </c>
    </row>
    <row r="29" spans="1:12" x14ac:dyDescent="0.25">
      <c r="A29" s="70" t="s">
        <v>63</v>
      </c>
      <c r="B29" s="119">
        <f>AVERAGE(B16:C27)</f>
        <v>4.2927847012205422</v>
      </c>
      <c r="C29" s="71"/>
      <c r="D29" s="73"/>
      <c r="G29" t="s">
        <v>20</v>
      </c>
      <c r="H29" s="9">
        <f>H22</f>
        <v>0.35104942127060212</v>
      </c>
      <c r="I29" s="2">
        <f>F1-2</f>
        <v>10</v>
      </c>
      <c r="J29" s="10">
        <f>H29/I29</f>
        <v>3.510494212706021E-2</v>
      </c>
      <c r="K29" s="4"/>
      <c r="L29" s="4"/>
    </row>
    <row r="32" spans="1:12" x14ac:dyDescent="0.25">
      <c r="A32" s="58" t="s">
        <v>64</v>
      </c>
      <c r="B32" s="84"/>
      <c r="C32" s="84"/>
      <c r="D32" s="76"/>
    </row>
    <row r="33" spans="1:7" x14ac:dyDescent="0.25">
      <c r="A33" s="83">
        <v>1</v>
      </c>
      <c r="B33" s="64">
        <f>AVERAGE(B16:C16)</f>
        <v>4.1296619123863811</v>
      </c>
      <c r="C33" s="63"/>
      <c r="D33" s="79"/>
    </row>
    <row r="34" spans="1:7" x14ac:dyDescent="0.25">
      <c r="A34" s="83">
        <v>2</v>
      </c>
      <c r="B34" s="64">
        <f t="shared" ref="B34:B44" si="3">AVERAGE(B17:C17)</f>
        <v>4.0945683991233279</v>
      </c>
      <c r="C34" s="63"/>
      <c r="D34" s="79"/>
    </row>
    <row r="35" spans="1:7" x14ac:dyDescent="0.25">
      <c r="A35" s="83">
        <v>3</v>
      </c>
      <c r="B35" s="64">
        <f t="shared" si="3"/>
        <v>4.0647712447778153</v>
      </c>
      <c r="C35" s="63"/>
      <c r="D35" s="79"/>
      <c r="G35" s="3"/>
    </row>
    <row r="36" spans="1:7" x14ac:dyDescent="0.25">
      <c r="A36" s="83">
        <v>4</v>
      </c>
      <c r="B36" s="64">
        <f t="shared" si="3"/>
        <v>4.4354076451898212</v>
      </c>
      <c r="C36" s="63"/>
      <c r="D36" s="79"/>
    </row>
    <row r="37" spans="1:7" x14ac:dyDescent="0.25">
      <c r="A37" s="83">
        <v>5</v>
      </c>
      <c r="B37" s="64">
        <f t="shared" si="3"/>
        <v>4.3428093440539133</v>
      </c>
      <c r="C37" s="63"/>
      <c r="D37" s="79"/>
    </row>
    <row r="38" spans="1:7" x14ac:dyDescent="0.25">
      <c r="A38" s="83">
        <v>6</v>
      </c>
      <c r="B38" s="64">
        <f t="shared" si="3"/>
        <v>4.5032414914049017</v>
      </c>
      <c r="C38" s="63"/>
      <c r="D38" s="79"/>
    </row>
    <row r="39" spans="1:7" x14ac:dyDescent="0.25">
      <c r="A39" s="83">
        <v>7</v>
      </c>
      <c r="B39" s="64">
        <f t="shared" si="3"/>
        <v>4.0639412828041994</v>
      </c>
      <c r="C39" s="63"/>
      <c r="D39" s="79"/>
    </row>
    <row r="40" spans="1:7" x14ac:dyDescent="0.25">
      <c r="A40" s="83">
        <v>8</v>
      </c>
      <c r="B40" s="64">
        <f t="shared" si="3"/>
        <v>4.6059936370704957</v>
      </c>
      <c r="C40" s="63"/>
      <c r="D40" s="79"/>
    </row>
    <row r="41" spans="1:7" ht="14.45" customHeight="1" x14ac:dyDescent="0.25">
      <c r="A41" s="83">
        <v>9</v>
      </c>
      <c r="B41" s="64">
        <f t="shared" si="3"/>
        <v>4.3856641866025328</v>
      </c>
      <c r="C41" s="63"/>
      <c r="D41" s="79"/>
    </row>
    <row r="42" spans="1:7" ht="14.45" customHeight="1" x14ac:dyDescent="0.25">
      <c r="A42" s="83">
        <v>10</v>
      </c>
      <c r="B42" s="64">
        <f t="shared" si="3"/>
        <v>4.2574488661374623</v>
      </c>
      <c r="C42" s="63"/>
      <c r="D42" s="79"/>
    </row>
    <row r="43" spans="1:7" ht="14.45" customHeight="1" x14ac:dyDescent="0.25">
      <c r="A43" s="83">
        <v>11</v>
      </c>
      <c r="B43" s="64">
        <f t="shared" si="3"/>
        <v>4.5984026948935348</v>
      </c>
      <c r="C43" s="63"/>
      <c r="D43" s="79"/>
    </row>
    <row r="44" spans="1:7" ht="14.45" customHeight="1" x14ac:dyDescent="0.25">
      <c r="A44" s="85">
        <v>12</v>
      </c>
      <c r="B44" s="68">
        <f t="shared" si="3"/>
        <v>4.0315057102021283</v>
      </c>
      <c r="C44" s="67"/>
      <c r="D44" s="80"/>
    </row>
    <row r="45" spans="1:7" ht="14.45" customHeight="1" x14ac:dyDescent="0.25"/>
    <row r="46" spans="1:7" ht="14.45" customHeight="1" x14ac:dyDescent="0.25">
      <c r="A46" s="58" t="s">
        <v>54</v>
      </c>
      <c r="B46" s="59"/>
      <c r="C46" s="59"/>
      <c r="D46" s="76"/>
    </row>
    <row r="47" spans="1:7" ht="14.45" customHeight="1" x14ac:dyDescent="0.25">
      <c r="A47" s="83">
        <v>1</v>
      </c>
      <c r="B47" s="64">
        <f>(B16-$B33)^2</f>
        <v>3.7790532912689426E-2</v>
      </c>
      <c r="C47" s="64">
        <f>(C16-$B33)^2</f>
        <v>3.7790532912689252E-2</v>
      </c>
      <c r="D47" s="79"/>
    </row>
    <row r="48" spans="1:7" x14ac:dyDescent="0.25">
      <c r="A48" s="83">
        <v>2</v>
      </c>
      <c r="B48" s="64">
        <f t="shared" ref="B48:C58" si="4">(B17-$B34)^2</f>
        <v>3.1015736126208629E-2</v>
      </c>
      <c r="C48" s="64">
        <f t="shared" si="4"/>
        <v>3.1015736126208473E-2</v>
      </c>
      <c r="D48" s="79"/>
    </row>
    <row r="49" spans="1:4" x14ac:dyDescent="0.25">
      <c r="A49" s="83">
        <v>3</v>
      </c>
      <c r="B49" s="64">
        <f t="shared" si="4"/>
        <v>3.7197915095246851E-3</v>
      </c>
      <c r="C49" s="64">
        <f t="shared" si="4"/>
        <v>3.7197915095246851E-3</v>
      </c>
      <c r="D49" s="79"/>
    </row>
    <row r="50" spans="1:4" x14ac:dyDescent="0.25">
      <c r="A50" s="83">
        <v>4</v>
      </c>
      <c r="B50" s="64">
        <f t="shared" si="4"/>
        <v>3.4103651511590574E-2</v>
      </c>
      <c r="C50" s="64">
        <f t="shared" si="4"/>
        <v>3.41036515115909E-2</v>
      </c>
      <c r="D50" s="79"/>
    </row>
    <row r="51" spans="1:4" x14ac:dyDescent="0.25">
      <c r="A51" s="83">
        <v>5</v>
      </c>
      <c r="B51" s="64">
        <f t="shared" si="4"/>
        <v>1.0187343638686976E-2</v>
      </c>
      <c r="C51" s="64">
        <f t="shared" si="4"/>
        <v>1.0187343638686976E-2</v>
      </c>
      <c r="D51" s="79"/>
    </row>
    <row r="52" spans="1:4" x14ac:dyDescent="0.25">
      <c r="A52" s="83">
        <v>6</v>
      </c>
      <c r="B52" s="64">
        <f t="shared" si="4"/>
        <v>3.3557121519782435E-2</v>
      </c>
      <c r="C52" s="64">
        <f t="shared" si="4"/>
        <v>3.3557121519782435E-2</v>
      </c>
      <c r="D52" s="79"/>
    </row>
    <row r="53" spans="1:4" x14ac:dyDescent="0.25">
      <c r="A53" s="83">
        <v>7</v>
      </c>
      <c r="B53" s="64">
        <f t="shared" si="4"/>
        <v>8.4619356412694944E-3</v>
      </c>
      <c r="C53" s="64">
        <f t="shared" si="4"/>
        <v>8.4619356412696575E-3</v>
      </c>
      <c r="D53" s="79"/>
    </row>
    <row r="54" spans="1:4" x14ac:dyDescent="0.25">
      <c r="A54" s="83">
        <v>8</v>
      </c>
      <c r="B54" s="64">
        <f t="shared" si="4"/>
        <v>4.645433379139236E-5</v>
      </c>
      <c r="C54" s="64">
        <f t="shared" si="4"/>
        <v>4.6454333791380257E-5</v>
      </c>
      <c r="D54" s="79"/>
    </row>
    <row r="55" spans="1:4" x14ac:dyDescent="0.25">
      <c r="A55" s="83">
        <v>9</v>
      </c>
      <c r="B55" s="64">
        <f t="shared" si="4"/>
        <v>1.8890965249073164E-2</v>
      </c>
      <c r="C55" s="64">
        <f t="shared" si="4"/>
        <v>1.889096524907341E-2</v>
      </c>
      <c r="D55" s="79"/>
    </row>
    <row r="56" spans="1:4" x14ac:dyDescent="0.25">
      <c r="A56" s="83">
        <v>10</v>
      </c>
      <c r="B56" s="64">
        <f t="shared" si="4"/>
        <v>2.6013639665050091E-4</v>
      </c>
      <c r="C56" s="64">
        <f t="shared" si="4"/>
        <v>2.6013639665052954E-4</v>
      </c>
      <c r="D56" s="79"/>
    </row>
    <row r="57" spans="1:4" x14ac:dyDescent="0.25">
      <c r="A57" s="83">
        <v>11</v>
      </c>
      <c r="B57" s="64">
        <f t="shared" si="4"/>
        <v>9.9174013192761365E-4</v>
      </c>
      <c r="C57" s="64">
        <f t="shared" si="4"/>
        <v>9.9174013192761365E-4</v>
      </c>
      <c r="D57" s="79"/>
    </row>
    <row r="58" spans="1:4" x14ac:dyDescent="0.25">
      <c r="A58" s="83">
        <v>12</v>
      </c>
      <c r="B58" s="64">
        <f t="shared" si="4"/>
        <v>1.9501946003272904E-3</v>
      </c>
      <c r="C58" s="64">
        <f t="shared" si="4"/>
        <v>1.9501946003273297E-3</v>
      </c>
      <c r="D58" s="79"/>
    </row>
    <row r="59" spans="1:4" x14ac:dyDescent="0.25">
      <c r="A59" s="62"/>
      <c r="B59" s="63"/>
      <c r="C59" s="63"/>
      <c r="D59" s="79"/>
    </row>
    <row r="60" spans="1:4" x14ac:dyDescent="0.25">
      <c r="A60" s="66" t="s">
        <v>54</v>
      </c>
      <c r="B60" s="110">
        <f>SUM(B47:C58)</f>
        <v>0.36195120714304474</v>
      </c>
      <c r="C60" s="67"/>
      <c r="D60" s="80"/>
    </row>
  </sheetData>
  <mergeCells count="1">
    <mergeCell ref="A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24"/>
  <sheetViews>
    <sheetView tabSelected="1" topLeftCell="A52" zoomScale="85" zoomScaleNormal="85" workbookViewId="0">
      <selection activeCell="I73" sqref="I73"/>
    </sheetView>
  </sheetViews>
  <sheetFormatPr defaultRowHeight="15" x14ac:dyDescent="0.25"/>
  <cols>
    <col min="1" max="1" width="20.7109375" customWidth="1"/>
    <col min="2" max="2" width="27.7109375" customWidth="1"/>
    <col min="3" max="4" width="21" customWidth="1"/>
    <col min="5" max="5" width="17.42578125" customWidth="1"/>
    <col min="6" max="6" width="14.7109375" customWidth="1"/>
    <col min="7" max="7" width="16.5703125" customWidth="1"/>
    <col min="8" max="8" width="32.85546875" customWidth="1"/>
    <col min="9" max="9" width="18.28515625" customWidth="1"/>
    <col min="10" max="12" width="15" customWidth="1"/>
    <col min="13" max="13" width="22.7109375" customWidth="1"/>
    <col min="14" max="14" width="16.7109375" bestFit="1" customWidth="1"/>
    <col min="15" max="15" width="20.85546875" customWidth="1"/>
    <col min="16" max="16" width="18.7109375" customWidth="1"/>
    <col min="17" max="17" width="22.7109375" customWidth="1"/>
    <col min="18" max="28" width="12.7109375" customWidth="1"/>
    <col min="29" max="29" width="12.5703125" customWidth="1"/>
  </cols>
  <sheetData>
    <row r="1" spans="1:18" x14ac:dyDescent="0.25">
      <c r="A1" s="51" t="s">
        <v>24</v>
      </c>
      <c r="B1" s="94" t="s">
        <v>26</v>
      </c>
      <c r="C1" s="95" t="s">
        <v>27</v>
      </c>
      <c r="D1" s="51" t="s">
        <v>0</v>
      </c>
      <c r="F1" s="33"/>
      <c r="G1" s="33"/>
      <c r="H1" s="33" t="s">
        <v>10</v>
      </c>
      <c r="I1" s="104">
        <f xml:space="preserve"> SUM(B16:C26)^2/22</f>
        <v>409.91488075360542</v>
      </c>
      <c r="J1" s="33"/>
      <c r="K1" s="33"/>
      <c r="L1" s="33"/>
      <c r="M1" s="33"/>
    </row>
    <row r="2" spans="1:18" x14ac:dyDescent="0.25">
      <c r="A2" s="92">
        <v>1</v>
      </c>
      <c r="B2" s="86">
        <v>75.494498427693117</v>
      </c>
      <c r="C2" s="87">
        <v>51.17566057796175</v>
      </c>
      <c r="D2" s="92" t="s">
        <v>1</v>
      </c>
      <c r="F2" s="33"/>
      <c r="G2" s="33"/>
      <c r="H2" s="33"/>
      <c r="I2" s="104"/>
      <c r="J2" s="33"/>
      <c r="K2" s="33"/>
      <c r="L2" s="34"/>
      <c r="M2" s="33"/>
    </row>
    <row r="3" spans="1:18" x14ac:dyDescent="0.25">
      <c r="A3" s="92">
        <v>2</v>
      </c>
      <c r="B3" s="86">
        <v>50.322663819517587</v>
      </c>
      <c r="C3" s="87">
        <v>71.570376309989598</v>
      </c>
      <c r="D3" s="92" t="s">
        <v>1</v>
      </c>
      <c r="F3" s="33"/>
      <c r="G3" s="33"/>
      <c r="H3" s="33" t="s">
        <v>28</v>
      </c>
      <c r="I3" s="104">
        <f>SUMSQ(B16:C26) - I1</f>
        <v>1.2231815652352225</v>
      </c>
      <c r="J3" s="33"/>
      <c r="K3" s="33"/>
      <c r="L3" s="33"/>
      <c r="M3" s="33"/>
    </row>
    <row r="4" spans="1:18" x14ac:dyDescent="0.25">
      <c r="A4" s="92">
        <v>3</v>
      </c>
      <c r="B4" s="86">
        <v>54.804984686069659</v>
      </c>
      <c r="C4" s="87">
        <v>61.914929518896137</v>
      </c>
      <c r="D4" s="92" t="s">
        <v>1</v>
      </c>
      <c r="F4" s="33"/>
      <c r="G4" s="33"/>
      <c r="H4" s="33"/>
      <c r="I4" s="104"/>
      <c r="J4" s="33"/>
      <c r="K4" s="33"/>
      <c r="L4" s="33"/>
      <c r="M4" s="33"/>
    </row>
    <row r="5" spans="1:18" x14ac:dyDescent="0.25">
      <c r="A5" s="92">
        <v>4</v>
      </c>
      <c r="B5" s="86">
        <v>101.50208956054119</v>
      </c>
      <c r="C5" s="87">
        <v>70.157022279319705</v>
      </c>
      <c r="D5" s="92" t="s">
        <v>1</v>
      </c>
      <c r="F5" s="33"/>
      <c r="G5" s="33"/>
      <c r="H5" s="33" t="s">
        <v>13</v>
      </c>
      <c r="I5" s="104">
        <f>SUM(B16:C21)^2/12</f>
        <v>217.94947550018301</v>
      </c>
      <c r="J5" s="33"/>
      <c r="K5" s="33"/>
      <c r="L5" s="33"/>
      <c r="M5" s="35"/>
    </row>
    <row r="6" spans="1:18" x14ac:dyDescent="0.25">
      <c r="A6" s="92">
        <v>5</v>
      </c>
      <c r="B6" s="86">
        <v>69.538250803441713</v>
      </c>
      <c r="C6" s="87">
        <v>85.092739584875858</v>
      </c>
      <c r="D6" s="92" t="s">
        <v>1</v>
      </c>
      <c r="F6" s="33"/>
      <c r="G6" s="33"/>
      <c r="H6" s="33" t="s">
        <v>14</v>
      </c>
      <c r="I6" s="104">
        <f>SUM(B22:C26)^2/10</f>
        <v>192.04466814185869</v>
      </c>
      <c r="J6" s="33"/>
      <c r="K6" s="33"/>
      <c r="L6" s="33"/>
      <c r="M6" s="33"/>
    </row>
    <row r="7" spans="1:18" x14ac:dyDescent="0.25">
      <c r="A7" s="92">
        <v>6</v>
      </c>
      <c r="B7" s="86">
        <v>75.192798488450322</v>
      </c>
      <c r="C7" s="87">
        <v>108.46499793113531</v>
      </c>
      <c r="D7" s="92" t="s">
        <v>1</v>
      </c>
      <c r="F7" s="33"/>
      <c r="G7" s="33"/>
      <c r="H7" s="33" t="s">
        <v>30</v>
      </c>
      <c r="I7" s="105">
        <f>I5+I6-I1</f>
        <v>7.9262888436289813E-2</v>
      </c>
      <c r="J7" s="33"/>
      <c r="K7" s="33"/>
      <c r="L7" s="33"/>
      <c r="M7" s="33"/>
    </row>
    <row r="8" spans="1:18" x14ac:dyDescent="0.25">
      <c r="A8" s="92">
        <v>7</v>
      </c>
      <c r="B8" s="88">
        <v>53.088084347410657</v>
      </c>
      <c r="C8" s="89">
        <v>63.811285458942592</v>
      </c>
      <c r="D8" s="92" t="s">
        <v>2</v>
      </c>
      <c r="F8" s="33"/>
      <c r="G8" s="33"/>
      <c r="H8" s="33"/>
      <c r="I8" s="104"/>
      <c r="J8" s="33"/>
      <c r="K8" s="33"/>
      <c r="L8" s="33"/>
      <c r="M8" s="33"/>
    </row>
    <row r="9" spans="1:18" x14ac:dyDescent="0.25">
      <c r="A9" s="92">
        <v>8</v>
      </c>
      <c r="B9" s="88">
        <v>100.76684457745931</v>
      </c>
      <c r="C9" s="89">
        <v>99.402562743045848</v>
      </c>
      <c r="D9" s="92" t="s">
        <v>2</v>
      </c>
      <c r="F9" s="33"/>
      <c r="G9" s="33"/>
      <c r="H9" s="33" t="s">
        <v>33</v>
      </c>
      <c r="I9" s="104">
        <f>SUM(F16:F26)-I1</f>
        <v>0.8651307472928238</v>
      </c>
      <c r="J9" s="33"/>
      <c r="K9" s="33"/>
      <c r="L9" s="33"/>
      <c r="M9" s="33"/>
    </row>
    <row r="10" spans="1:18" x14ac:dyDescent="0.25">
      <c r="A10" s="92">
        <v>9</v>
      </c>
      <c r="B10" s="88">
        <v>92.121521788859056</v>
      </c>
      <c r="C10" s="89">
        <v>69.980720224820985</v>
      </c>
      <c r="D10" s="92" t="s">
        <v>2</v>
      </c>
      <c r="F10" s="33"/>
      <c r="G10" s="33"/>
      <c r="H10" s="33" t="s">
        <v>34</v>
      </c>
      <c r="I10" s="106">
        <f>I9-I7</f>
        <v>0.78586785885653399</v>
      </c>
      <c r="J10" s="33"/>
      <c r="K10" s="33"/>
      <c r="L10" s="33"/>
      <c r="M10" s="33"/>
    </row>
    <row r="11" spans="1:18" x14ac:dyDescent="0.25">
      <c r="A11" s="92">
        <v>10</v>
      </c>
      <c r="B11" s="88">
        <v>69.499539157041895</v>
      </c>
      <c r="C11" s="89">
        <v>71.777970437753766</v>
      </c>
      <c r="D11" s="92" t="s">
        <v>2</v>
      </c>
      <c r="F11" s="33"/>
      <c r="G11" s="33"/>
      <c r="H11" s="33"/>
      <c r="I11" s="104"/>
      <c r="J11" s="33"/>
      <c r="K11" s="33"/>
      <c r="L11" s="33"/>
      <c r="M11" s="33"/>
    </row>
    <row r="12" spans="1:18" x14ac:dyDescent="0.25">
      <c r="A12" s="93">
        <v>11</v>
      </c>
      <c r="B12" s="90">
        <v>102.5032597702746</v>
      </c>
      <c r="C12" s="91">
        <v>96.246324851463712</v>
      </c>
      <c r="D12" s="93" t="s">
        <v>2</v>
      </c>
      <c r="F12" s="33"/>
      <c r="G12" s="33"/>
      <c r="H12" s="33" t="s">
        <v>15</v>
      </c>
      <c r="I12" s="104">
        <f>SUM(B16:B21,C22:C26)^2/11</f>
        <v>203.15034083016673</v>
      </c>
      <c r="J12" s="33"/>
      <c r="K12" s="33"/>
      <c r="L12" s="33"/>
      <c r="M12" s="33"/>
      <c r="P12" s="1"/>
      <c r="Q12" s="1"/>
      <c r="R12" s="1"/>
    </row>
    <row r="13" spans="1:18" x14ac:dyDescent="0.25">
      <c r="A13" s="11"/>
      <c r="B13" s="14"/>
      <c r="C13" s="14"/>
      <c r="D13" s="14"/>
      <c r="E13" s="11"/>
      <c r="F13" s="33"/>
      <c r="G13" s="33"/>
      <c r="H13" s="33" t="s">
        <v>16</v>
      </c>
      <c r="I13" s="104">
        <f>SUM(B22:B26,C16:C21)^2/11</f>
        <v>206.77254179188949</v>
      </c>
      <c r="J13" s="33"/>
      <c r="K13" s="33"/>
      <c r="L13" s="33"/>
      <c r="M13" s="33"/>
    </row>
    <row r="14" spans="1:18" x14ac:dyDescent="0.25">
      <c r="A14" s="120" t="s">
        <v>25</v>
      </c>
      <c r="B14" s="120"/>
      <c r="C14" s="120"/>
      <c r="D14" s="120"/>
      <c r="E14" s="120"/>
      <c r="F14" s="33"/>
      <c r="G14" s="33"/>
      <c r="H14" s="33" t="s">
        <v>31</v>
      </c>
      <c r="I14" s="107">
        <f>I12+I13-I1</f>
        <v>8.0018684508331717E-3</v>
      </c>
      <c r="J14" s="33"/>
      <c r="K14" s="33"/>
      <c r="L14" s="34"/>
      <c r="M14" s="33"/>
    </row>
    <row r="15" spans="1:18" x14ac:dyDescent="0.25">
      <c r="A15" s="51"/>
      <c r="B15" s="94" t="s">
        <v>26</v>
      </c>
      <c r="C15" s="95" t="s">
        <v>27</v>
      </c>
      <c r="D15" s="51" t="s">
        <v>0</v>
      </c>
      <c r="F15" s="33"/>
      <c r="G15" s="33"/>
      <c r="H15" s="33"/>
      <c r="I15" s="104"/>
      <c r="J15" s="33"/>
      <c r="K15" s="33"/>
      <c r="L15" s="34"/>
      <c r="M15" s="33"/>
    </row>
    <row r="16" spans="1:18" x14ac:dyDescent="0.25">
      <c r="A16" s="92">
        <v>1</v>
      </c>
      <c r="B16" s="86">
        <f>LN(B2)</f>
        <v>4.3240597850925644</v>
      </c>
      <c r="C16" s="87">
        <f>LN(C2)</f>
        <v>3.9352640396801983</v>
      </c>
      <c r="D16" s="92" t="s">
        <v>1</v>
      </c>
      <c r="F16" s="36">
        <f t="shared" ref="F16:F26" si="0">(B16+C16)^2/2</f>
        <v>34.108215021229483</v>
      </c>
      <c r="G16" s="33"/>
      <c r="H16" s="33" t="s">
        <v>11</v>
      </c>
      <c r="I16" s="104">
        <f>SUM(B16:B26)^2/11</f>
        <v>204.31463260844001</v>
      </c>
      <c r="J16" s="33"/>
      <c r="K16" s="33"/>
      <c r="L16" s="33"/>
      <c r="M16" s="33"/>
    </row>
    <row r="17" spans="1:13" x14ac:dyDescent="0.25">
      <c r="A17" s="92">
        <v>2</v>
      </c>
      <c r="B17" s="86">
        <f t="shared" ref="B17:C26" si="1">LN(B3)</f>
        <v>3.9184555485808175</v>
      </c>
      <c r="C17" s="87">
        <f t="shared" si="1"/>
        <v>4.270681249665838</v>
      </c>
      <c r="D17" s="92" t="s">
        <v>1</v>
      </c>
      <c r="F17" s="36">
        <f t="shared" si="0"/>
        <v>33.530980750198744</v>
      </c>
      <c r="G17" s="33"/>
      <c r="H17" s="33" t="s">
        <v>12</v>
      </c>
      <c r="I17" s="104">
        <f>SUM(C16:C26)^2/11</f>
        <v>205.60125774760161</v>
      </c>
      <c r="J17" s="33"/>
      <c r="K17" s="33"/>
      <c r="L17" s="33"/>
      <c r="M17" s="33"/>
    </row>
    <row r="18" spans="1:13" x14ac:dyDescent="0.25">
      <c r="A18" s="92">
        <v>3</v>
      </c>
      <c r="B18" s="86">
        <f t="shared" si="1"/>
        <v>4.0037811512418591</v>
      </c>
      <c r="C18" s="87">
        <f t="shared" si="1"/>
        <v>4.1257613383137715</v>
      </c>
      <c r="D18" s="92" t="s">
        <v>1</v>
      </c>
      <c r="F18" s="36">
        <f t="shared" si="0"/>
        <v>33.044730544745178</v>
      </c>
      <c r="G18" s="33"/>
      <c r="H18" s="33" t="s">
        <v>29</v>
      </c>
      <c r="I18" s="108">
        <f>I16+I17-I1</f>
        <v>1.0096024361700984E-3</v>
      </c>
      <c r="J18" s="33"/>
      <c r="K18" s="33"/>
      <c r="L18" s="33"/>
      <c r="M18" s="33"/>
    </row>
    <row r="19" spans="1:13" x14ac:dyDescent="0.25">
      <c r="A19" s="92">
        <v>4</v>
      </c>
      <c r="B19" s="86">
        <f t="shared" si="1"/>
        <v>4.6200793850732982</v>
      </c>
      <c r="C19" s="87">
        <f t="shared" si="1"/>
        <v>4.2507359053063434</v>
      </c>
      <c r="D19" s="92" t="s">
        <v>1</v>
      </c>
      <c r="F19" s="36">
        <f t="shared" si="0"/>
        <v>39.345681958016627</v>
      </c>
      <c r="G19" s="33"/>
      <c r="H19" s="33"/>
      <c r="I19" s="104"/>
      <c r="J19" s="33"/>
      <c r="K19" s="33"/>
      <c r="L19" s="33"/>
      <c r="M19" s="33"/>
    </row>
    <row r="20" spans="1:13" x14ac:dyDescent="0.25">
      <c r="A20" s="92">
        <v>5</v>
      </c>
      <c r="B20" s="86">
        <f t="shared" si="1"/>
        <v>4.241876972444568</v>
      </c>
      <c r="C20" s="87">
        <f t="shared" si="1"/>
        <v>4.4437417156632586</v>
      </c>
      <c r="D20" s="92" t="s">
        <v>1</v>
      </c>
      <c r="F20" s="36">
        <f t="shared" si="0"/>
        <v>37.719985997603963</v>
      </c>
      <c r="G20" s="33"/>
      <c r="H20" s="33" t="s">
        <v>32</v>
      </c>
      <c r="I20" s="109">
        <f>I3-I18-I7-I14-I10</f>
        <v>0.34903934705539541</v>
      </c>
      <c r="J20" s="33"/>
      <c r="K20" s="33"/>
      <c r="L20" s="33"/>
      <c r="M20" s="33"/>
    </row>
    <row r="21" spans="1:13" x14ac:dyDescent="0.25">
      <c r="A21" s="92">
        <v>6</v>
      </c>
      <c r="B21" s="86">
        <f t="shared" si="1"/>
        <v>4.3200554615888089</v>
      </c>
      <c r="C21" s="87">
        <f t="shared" si="1"/>
        <v>4.6864275212209945</v>
      </c>
      <c r="D21" s="92" t="s">
        <v>1</v>
      </c>
      <c r="F21" s="36">
        <f t="shared" si="0"/>
        <v>40.558367859821288</v>
      </c>
      <c r="G21" s="33"/>
      <c r="H21" s="33"/>
      <c r="I21" s="33"/>
      <c r="J21" s="33"/>
      <c r="K21" s="33"/>
      <c r="L21" s="33"/>
      <c r="M21" s="33"/>
    </row>
    <row r="22" spans="1:13" x14ac:dyDescent="0.25">
      <c r="A22" s="92">
        <v>7</v>
      </c>
      <c r="B22" s="88">
        <f t="shared" si="1"/>
        <v>3.9719525028293052</v>
      </c>
      <c r="C22" s="89">
        <f t="shared" si="1"/>
        <v>4.1559300627790945</v>
      </c>
      <c r="D22" s="92" t="s">
        <v>2</v>
      </c>
      <c r="F22" s="36">
        <f t="shared" si="0"/>
        <v>33.031237500160486</v>
      </c>
      <c r="G22" s="33"/>
      <c r="H22" s="37" t="s">
        <v>23</v>
      </c>
      <c r="I22" s="37" t="s">
        <v>3</v>
      </c>
      <c r="J22" s="37" t="s">
        <v>4</v>
      </c>
      <c r="K22" s="37" t="s">
        <v>5</v>
      </c>
      <c r="L22" s="37" t="s">
        <v>22</v>
      </c>
      <c r="M22" s="37" t="s">
        <v>21</v>
      </c>
    </row>
    <row r="23" spans="1:13" x14ac:dyDescent="0.25">
      <c r="A23" s="92">
        <v>8</v>
      </c>
      <c r="B23" s="88">
        <f t="shared" si="1"/>
        <v>4.6128093786876194</v>
      </c>
      <c r="C23" s="89">
        <f t="shared" si="1"/>
        <v>4.5991778954533729</v>
      </c>
      <c r="D23" s="92" t="s">
        <v>2</v>
      </c>
      <c r="F23" s="36">
        <f t="shared" si="0"/>
        <v>42.430354769467783</v>
      </c>
      <c r="G23" s="33"/>
      <c r="H23" s="33" t="s">
        <v>19</v>
      </c>
      <c r="I23" s="38">
        <f>I7</f>
        <v>7.9262888436289813E-2</v>
      </c>
      <c r="J23" s="37">
        <v>1</v>
      </c>
      <c r="K23" s="39">
        <f>I23/J23</f>
        <v>7.9262888436289813E-2</v>
      </c>
      <c r="L23" s="39">
        <f>K23/K24</f>
        <v>0.90774293398966788</v>
      </c>
      <c r="M23" s="39">
        <f>_xlfn.F.DIST.RT(L23,1,9)</f>
        <v>0.36559961178983913</v>
      </c>
    </row>
    <row r="24" spans="1:13" x14ac:dyDescent="0.25">
      <c r="A24" s="92">
        <v>9</v>
      </c>
      <c r="B24" s="88">
        <f t="shared" si="1"/>
        <v>4.5231085944519362</v>
      </c>
      <c r="C24" s="89">
        <f t="shared" si="1"/>
        <v>4.2482197787531284</v>
      </c>
      <c r="D24" s="92" t="s">
        <v>2</v>
      </c>
      <c r="F24" s="36">
        <f t="shared" si="0"/>
        <v>38.46810071529611</v>
      </c>
      <c r="G24" s="33"/>
      <c r="H24" s="33" t="s">
        <v>74</v>
      </c>
      <c r="I24" s="40">
        <f>I10</f>
        <v>0.78586785885653399</v>
      </c>
      <c r="J24" s="37">
        <v>9</v>
      </c>
      <c r="K24" s="39">
        <f>I24/J24</f>
        <v>8.7318650984059332E-2</v>
      </c>
      <c r="L24" s="39">
        <f>K24/K27</f>
        <v>2.2515165281116869</v>
      </c>
      <c r="M24" s="39">
        <f>_xlfn.F.DIST.RT(L24,9,9)</f>
        <v>0.12122142815291492</v>
      </c>
    </row>
    <row r="25" spans="1:13" x14ac:dyDescent="0.25">
      <c r="A25" s="92">
        <v>10</v>
      </c>
      <c r="B25" s="88">
        <f t="shared" si="1"/>
        <v>4.2413201217148329</v>
      </c>
      <c r="C25" s="89">
        <f t="shared" si="1"/>
        <v>4.2735776105600927</v>
      </c>
      <c r="D25" s="92" t="s">
        <v>2</v>
      </c>
      <c r="F25" s="36">
        <f t="shared" si="0"/>
        <v>36.251741695550329</v>
      </c>
      <c r="G25" s="33"/>
      <c r="H25" s="33" t="s">
        <v>17</v>
      </c>
      <c r="I25" s="41">
        <f>I14</f>
        <v>8.0018684508331717E-3</v>
      </c>
      <c r="J25" s="37">
        <v>1</v>
      </c>
      <c r="K25" s="39">
        <f>I25/J25</f>
        <v>8.0018684508331717E-3</v>
      </c>
      <c r="L25" s="39">
        <f>K25/K27</f>
        <v>0.20632864651236266</v>
      </c>
      <c r="M25" s="39">
        <f>_xlfn.F.DIST.RT(L25,1,9)</f>
        <v>0.66041662313870675</v>
      </c>
    </row>
    <row r="26" spans="1:13" ht="15" customHeight="1" x14ac:dyDescent="0.25">
      <c r="A26" s="93">
        <v>11</v>
      </c>
      <c r="B26" s="90">
        <f t="shared" si="1"/>
        <v>4.6298946007095951</v>
      </c>
      <c r="C26" s="91">
        <f t="shared" si="1"/>
        <v>4.5669107890774745</v>
      </c>
      <c r="D26" s="93" t="s">
        <v>2</v>
      </c>
      <c r="F26" s="36">
        <f t="shared" si="0"/>
        <v>42.290614688808247</v>
      </c>
      <c r="G26" s="33"/>
      <c r="H26" s="33" t="s">
        <v>18</v>
      </c>
      <c r="I26" s="42">
        <f>I18</f>
        <v>1.0096024361700984E-3</v>
      </c>
      <c r="J26" s="37">
        <v>1</v>
      </c>
      <c r="K26" s="39">
        <f>I26/J26</f>
        <v>1.0096024361700984E-3</v>
      </c>
      <c r="L26" s="39">
        <f>K26/K27</f>
        <v>2.6032657928645495E-2</v>
      </c>
      <c r="M26" s="39">
        <f>_xlfn.F.DIST.RT(L26,1,9)</f>
        <v>0.87538445724988179</v>
      </c>
    </row>
    <row r="27" spans="1:13" x14ac:dyDescent="0.25">
      <c r="A27" s="13"/>
      <c r="B27" s="14"/>
      <c r="C27" s="14"/>
      <c r="D27" s="14"/>
      <c r="E27" s="13"/>
      <c r="F27" s="43"/>
      <c r="G27" s="33"/>
      <c r="H27" s="33" t="s">
        <v>20</v>
      </c>
      <c r="I27" s="44">
        <f>I20</f>
        <v>0.34903934705539541</v>
      </c>
      <c r="J27" s="37">
        <v>9</v>
      </c>
      <c r="K27" s="45">
        <f>I27/J27</f>
        <v>3.878214967282171E-2</v>
      </c>
      <c r="L27" s="39"/>
      <c r="M27" s="39"/>
    </row>
    <row r="29" spans="1:13" x14ac:dyDescent="0.25">
      <c r="I29" s="3"/>
      <c r="K29" s="3"/>
    </row>
    <row r="30" spans="1:13" x14ac:dyDescent="0.25">
      <c r="A30" s="50"/>
      <c r="B30" s="51" t="s">
        <v>26</v>
      </c>
      <c r="C30" s="51" t="s">
        <v>27</v>
      </c>
      <c r="D30" s="17"/>
      <c r="I30" s="17"/>
      <c r="J30" s="17"/>
      <c r="K30" s="17"/>
      <c r="L30" s="17"/>
    </row>
    <row r="31" spans="1:13" ht="14.45" customHeight="1" x14ac:dyDescent="0.25">
      <c r="A31" s="50" t="s">
        <v>44</v>
      </c>
      <c r="B31" s="51">
        <v>11</v>
      </c>
      <c r="C31" s="51">
        <v>12</v>
      </c>
      <c r="D31" s="17"/>
      <c r="H31" s="3"/>
      <c r="I31" s="17"/>
      <c r="J31" s="17"/>
      <c r="K31" s="17"/>
      <c r="L31" s="17"/>
    </row>
    <row r="32" spans="1:13" ht="14.45" customHeight="1" x14ac:dyDescent="0.25">
      <c r="A32" s="50" t="s">
        <v>45</v>
      </c>
      <c r="B32" s="51">
        <v>21</v>
      </c>
      <c r="C32" s="51">
        <v>22</v>
      </c>
      <c r="D32" s="17"/>
      <c r="I32" s="17"/>
      <c r="J32" s="17"/>
      <c r="K32" s="17"/>
      <c r="L32" s="17"/>
    </row>
    <row r="33" spans="1:16" ht="14.45" customHeight="1" x14ac:dyDescent="0.25">
      <c r="B33" s="18"/>
      <c r="I33" s="17"/>
      <c r="J33" s="17"/>
      <c r="K33" s="17"/>
      <c r="L33" s="17"/>
      <c r="M33" s="17"/>
      <c r="N33" s="17"/>
    </row>
    <row r="34" spans="1:16" ht="14.45" customHeight="1" x14ac:dyDescent="0.25">
      <c r="C34" s="15"/>
      <c r="D34" s="15"/>
      <c r="I34" s="17"/>
      <c r="J34" s="17"/>
      <c r="K34" s="17"/>
      <c r="L34" s="17"/>
      <c r="M34" s="17"/>
    </row>
    <row r="35" spans="1:16" ht="14.45" customHeight="1" x14ac:dyDescent="0.25">
      <c r="A35" s="15" t="s">
        <v>46</v>
      </c>
      <c r="D35" s="15"/>
      <c r="I35" s="17"/>
      <c r="J35" s="17"/>
      <c r="K35" s="17"/>
      <c r="L35" s="17"/>
    </row>
    <row r="36" spans="1:16" ht="14.45" customHeight="1" x14ac:dyDescent="0.25">
      <c r="I36" s="17"/>
      <c r="J36" s="17"/>
      <c r="K36" s="17"/>
      <c r="L36" s="17"/>
    </row>
    <row r="37" spans="1:16" ht="14.45" customHeight="1" x14ac:dyDescent="0.25">
      <c r="A37" s="50"/>
      <c r="B37" s="51" t="s">
        <v>26</v>
      </c>
      <c r="C37" s="51" t="s">
        <v>27</v>
      </c>
      <c r="I37" s="17"/>
      <c r="J37" s="17"/>
      <c r="K37" s="17"/>
      <c r="L37" s="17"/>
    </row>
    <row r="38" spans="1:16" x14ac:dyDescent="0.25">
      <c r="A38" s="50" t="s">
        <v>44</v>
      </c>
      <c r="B38" s="52">
        <f>AVERAGE(B16:B21)</f>
        <v>4.2380513840036524</v>
      </c>
      <c r="C38" s="53">
        <f>AVERAGE(C16:C21)</f>
        <v>4.2854352949750671</v>
      </c>
      <c r="I38" s="17"/>
      <c r="J38" s="17"/>
      <c r="K38" s="17"/>
      <c r="L38" s="17"/>
      <c r="M38" s="12"/>
    </row>
    <row r="39" spans="1:16" x14ac:dyDescent="0.25">
      <c r="A39" s="50" t="s">
        <v>45</v>
      </c>
      <c r="B39" s="53">
        <f>AVERAGE(B22:B26)</f>
        <v>4.3958170396786578</v>
      </c>
      <c r="C39" s="52">
        <f>AVERAGE(C22:C26)</f>
        <v>4.3687632273246333</v>
      </c>
      <c r="I39" s="17"/>
      <c r="J39" s="17"/>
      <c r="K39" s="17"/>
      <c r="L39" s="17"/>
      <c r="M39" s="17"/>
      <c r="P39" s="20"/>
    </row>
    <row r="40" spans="1:16" x14ac:dyDescent="0.25">
      <c r="I40" s="17"/>
      <c r="J40" s="17"/>
      <c r="K40" s="17"/>
      <c r="L40" s="17"/>
      <c r="M40" s="17"/>
      <c r="O40" s="20"/>
    </row>
    <row r="41" spans="1:16" x14ac:dyDescent="0.25">
      <c r="A41" t="s">
        <v>48</v>
      </c>
      <c r="B41" s="22">
        <f>AVERAGE(B38,C39)</f>
        <v>4.3034073056641429</v>
      </c>
      <c r="I41" s="17"/>
      <c r="J41" s="17"/>
      <c r="K41" s="17"/>
      <c r="L41" s="17"/>
      <c r="M41" s="17"/>
    </row>
    <row r="42" spans="1:16" x14ac:dyDescent="0.25">
      <c r="A42" t="s">
        <v>49</v>
      </c>
      <c r="B42" s="22">
        <f>AVERAGE(C38,B39)</f>
        <v>4.340626167326862</v>
      </c>
      <c r="H42" s="22"/>
      <c r="I42" s="17"/>
      <c r="J42" s="17"/>
      <c r="K42" s="17"/>
      <c r="L42" s="17"/>
      <c r="M42" s="17"/>
      <c r="O42" s="20"/>
    </row>
    <row r="43" spans="1:16" x14ac:dyDescent="0.25">
      <c r="A43" t="s">
        <v>47</v>
      </c>
      <c r="B43" s="26">
        <f>B41-B42</f>
        <v>-3.7218861662719149E-2</v>
      </c>
      <c r="C43" s="29" t="s">
        <v>70</v>
      </c>
      <c r="D43" s="22">
        <f>2*5*6/(5+6)</f>
        <v>5.4545454545454541</v>
      </c>
      <c r="I43" s="17"/>
      <c r="J43" s="17"/>
      <c r="K43" s="17"/>
      <c r="L43" s="17"/>
      <c r="M43" s="17"/>
      <c r="O43" s="20"/>
    </row>
    <row r="44" spans="1:16" x14ac:dyDescent="0.25">
      <c r="E44" s="22"/>
      <c r="I44" s="17"/>
      <c r="J44" s="17"/>
      <c r="K44" s="17"/>
      <c r="L44" s="17"/>
      <c r="M44" s="17"/>
      <c r="O44" s="20"/>
    </row>
    <row r="45" spans="1:16" x14ac:dyDescent="0.25">
      <c r="A45" t="s">
        <v>43</v>
      </c>
      <c r="B45" s="22">
        <f>C73</f>
        <v>1.2231815652351186</v>
      </c>
      <c r="I45" s="17"/>
      <c r="J45" s="17"/>
      <c r="K45" s="17"/>
      <c r="L45" s="17"/>
      <c r="M45" s="17"/>
    </row>
    <row r="46" spans="1:16" x14ac:dyDescent="0.25">
      <c r="A46" t="s">
        <v>59</v>
      </c>
      <c r="B46" s="26">
        <f>C118</f>
        <v>0.86513074729272899</v>
      </c>
      <c r="C46" s="48" t="s">
        <v>71</v>
      </c>
      <c r="D46" s="22">
        <f>C52+C53</f>
        <v>0.86513074729275408</v>
      </c>
      <c r="E46" s="22"/>
      <c r="G46" s="22"/>
      <c r="I46" s="17"/>
      <c r="J46" s="17"/>
      <c r="K46" s="17"/>
      <c r="L46" s="17"/>
      <c r="M46" s="17"/>
    </row>
    <row r="47" spans="1:16" x14ac:dyDescent="0.25">
      <c r="A47" t="s">
        <v>60</v>
      </c>
      <c r="B47" s="26">
        <f>C104</f>
        <v>0.35805081794239013</v>
      </c>
      <c r="C47" s="49" t="s">
        <v>71</v>
      </c>
      <c r="D47" s="22">
        <f>C55+C56+C57</f>
        <v>0.3576048240196969</v>
      </c>
      <c r="E47" s="22"/>
      <c r="F47" s="22"/>
      <c r="G47" s="22"/>
      <c r="H47" s="28"/>
      <c r="I47" s="17"/>
      <c r="J47" s="17"/>
      <c r="K47" s="17"/>
      <c r="L47" s="17"/>
      <c r="M47" s="17"/>
    </row>
    <row r="48" spans="1:16" x14ac:dyDescent="0.25">
      <c r="G48" s="22"/>
      <c r="I48" s="20"/>
      <c r="K48" s="19"/>
      <c r="L48" s="17"/>
      <c r="M48" s="17"/>
    </row>
    <row r="49" spans="1:15" x14ac:dyDescent="0.25">
      <c r="K49" s="12"/>
      <c r="L49" s="17"/>
      <c r="M49" s="17"/>
      <c r="O49" s="20"/>
    </row>
    <row r="50" spans="1:15" x14ac:dyDescent="0.25">
      <c r="A50" s="50"/>
      <c r="B50" s="50"/>
      <c r="C50" s="57" t="s">
        <v>3</v>
      </c>
      <c r="D50" s="57" t="s">
        <v>4</v>
      </c>
      <c r="E50" s="57" t="s">
        <v>5</v>
      </c>
      <c r="F50" s="57" t="s">
        <v>22</v>
      </c>
      <c r="G50" s="57" t="s">
        <v>21</v>
      </c>
      <c r="K50" s="12"/>
      <c r="L50" s="17"/>
      <c r="M50" s="17"/>
      <c r="O50" s="20"/>
    </row>
    <row r="51" spans="1:15" x14ac:dyDescent="0.25">
      <c r="A51" s="56" t="s">
        <v>72</v>
      </c>
      <c r="B51" s="50"/>
      <c r="C51" s="55">
        <f>B46</f>
        <v>0.86513074729272899</v>
      </c>
      <c r="D51" s="57"/>
      <c r="E51" s="57"/>
      <c r="F51" s="57"/>
      <c r="G51" s="57"/>
      <c r="K51" s="32"/>
      <c r="L51" s="17"/>
      <c r="M51" s="17"/>
      <c r="O51" s="20"/>
    </row>
    <row r="52" spans="1:15" x14ac:dyDescent="0.25">
      <c r="A52" s="56" t="s">
        <v>67</v>
      </c>
      <c r="B52" s="50"/>
      <c r="C52" s="54">
        <f>D43*(0.5*((B39+C39)-(B38+C38)))^2</f>
        <v>7.9262888436220036E-2</v>
      </c>
      <c r="D52" s="51">
        <v>1</v>
      </c>
      <c r="E52" s="55">
        <f>C52/D52</f>
        <v>7.9262888436220036E-2</v>
      </c>
      <c r="F52" s="55">
        <f>E52/E53</f>
        <v>0.90774293398886874</v>
      </c>
      <c r="G52" s="55">
        <f>_xlfn.F.DIST.RT(F52,1,9)</f>
        <v>0.36559961179004041</v>
      </c>
      <c r="K52" s="4"/>
      <c r="M52" s="4"/>
      <c r="N52" s="4"/>
      <c r="O52" s="4"/>
    </row>
    <row r="53" spans="1:15" x14ac:dyDescent="0.25">
      <c r="A53" s="56" t="s">
        <v>61</v>
      </c>
      <c r="B53" s="50"/>
      <c r="C53" s="54">
        <f>C90</f>
        <v>0.78586785885653399</v>
      </c>
      <c r="D53" s="51">
        <v>9</v>
      </c>
      <c r="E53" s="55">
        <f t="shared" ref="E53:E57" si="2">C53/D53</f>
        <v>8.7318650984059332E-2</v>
      </c>
      <c r="F53" s="55">
        <f>E53/E$57</f>
        <v>2.2486432668580996</v>
      </c>
      <c r="G53" s="55">
        <f>_xlfn.F.DIST.RT(F53,9,9)</f>
        <v>0.12158304930858863</v>
      </c>
      <c r="K53" s="4"/>
      <c r="M53" s="4"/>
      <c r="N53" s="4"/>
      <c r="O53" s="4"/>
    </row>
    <row r="54" spans="1:15" x14ac:dyDescent="0.25">
      <c r="A54" s="56" t="s">
        <v>73</v>
      </c>
      <c r="B54" s="50"/>
      <c r="C54" s="55">
        <f>B47</f>
        <v>0.35805081794239013</v>
      </c>
      <c r="D54" s="51"/>
      <c r="E54" s="55"/>
      <c r="F54" s="55"/>
      <c r="G54" s="55"/>
      <c r="K54" s="4"/>
      <c r="M54" s="4"/>
      <c r="N54" s="4"/>
      <c r="O54" s="4"/>
    </row>
    <row r="55" spans="1:15" x14ac:dyDescent="0.25">
      <c r="A55" s="56" t="s">
        <v>41</v>
      </c>
      <c r="B55" s="50"/>
      <c r="C55" s="54">
        <f>D43*(0.5*((B39+C38)-(B38+C39)))^2</f>
        <v>7.5558745280106827E-3</v>
      </c>
      <c r="D55" s="51">
        <v>1</v>
      </c>
      <c r="E55" s="55">
        <f>C55/D55</f>
        <v>7.5558745280106827E-3</v>
      </c>
      <c r="F55" s="55">
        <f t="shared" ref="F55:F56" si="3">E55/E$57</f>
        <v>0.19458003749665781</v>
      </c>
      <c r="G55" s="55">
        <f>_xlfn.F.DIST.RT(F55,1,9)</f>
        <v>0.66953820129654718</v>
      </c>
      <c r="K55" s="4"/>
      <c r="M55" s="4"/>
      <c r="N55" s="4"/>
      <c r="O55" s="4"/>
    </row>
    <row r="56" spans="1:15" x14ac:dyDescent="0.25">
      <c r="A56" s="56" t="s">
        <v>50</v>
      </c>
      <c r="B56" s="50"/>
      <c r="C56" s="54">
        <f>D43*(0.5*((C38+C39)-(B38+B39)))^2</f>
        <v>5.63608513353883E-4</v>
      </c>
      <c r="D56" s="51">
        <v>1</v>
      </c>
      <c r="E56" s="55">
        <f t="shared" si="2"/>
        <v>5.63608513353883E-4</v>
      </c>
      <c r="F56" s="55">
        <f t="shared" si="3"/>
        <v>1.451413271293526E-2</v>
      </c>
      <c r="G56" s="55">
        <f>_xlfn.F.DIST.RT(F56,1,9)</f>
        <v>0.90675386112221634</v>
      </c>
      <c r="K56" s="4"/>
      <c r="M56" s="4"/>
      <c r="N56" s="4"/>
      <c r="O56" s="4"/>
    </row>
    <row r="57" spans="1:15" x14ac:dyDescent="0.25">
      <c r="A57" s="56" t="s">
        <v>42</v>
      </c>
      <c r="B57" s="50"/>
      <c r="C57" s="55">
        <f>C136</f>
        <v>0.34948534097833234</v>
      </c>
      <c r="D57" s="51">
        <v>9</v>
      </c>
      <c r="E57" s="123">
        <f t="shared" si="2"/>
        <v>3.8831704553148036E-2</v>
      </c>
      <c r="F57" s="51"/>
      <c r="G57" s="51"/>
      <c r="K57" s="4"/>
      <c r="M57" s="4"/>
      <c r="N57" s="4"/>
      <c r="O57" s="4"/>
    </row>
    <row r="58" spans="1:15" x14ac:dyDescent="0.25">
      <c r="I58" s="20"/>
      <c r="J58" s="3"/>
      <c r="L58" s="12"/>
      <c r="M58" s="12"/>
    </row>
    <row r="59" spans="1:15" x14ac:dyDescent="0.25">
      <c r="A59" s="74" t="s">
        <v>51</v>
      </c>
      <c r="B59" s="74"/>
      <c r="C59" s="75">
        <f>AVERAGE(B16:C26)</f>
        <v>4.3165373367676709</v>
      </c>
      <c r="F59" s="81" t="s">
        <v>75</v>
      </c>
      <c r="G59" s="76"/>
      <c r="I59" s="20"/>
      <c r="L59" s="19"/>
      <c r="M59" s="19"/>
    </row>
    <row r="60" spans="1:15" x14ac:dyDescent="0.25">
      <c r="C60" s="22"/>
      <c r="F60" s="62"/>
      <c r="G60" s="79"/>
      <c r="I60" s="20"/>
      <c r="L60" s="32"/>
      <c r="M60" s="32"/>
    </row>
    <row r="61" spans="1:15" x14ac:dyDescent="0.25">
      <c r="A61" s="81" t="s">
        <v>52</v>
      </c>
      <c r="B61" s="59"/>
      <c r="C61" s="59"/>
      <c r="D61" s="76"/>
      <c r="F61" s="62" t="s">
        <v>6</v>
      </c>
      <c r="G61" s="65">
        <f>SQRT(0.5*E57*(1/5+1/6))</f>
        <v>8.4375030872550244E-2</v>
      </c>
      <c r="I61" s="20"/>
      <c r="L61" s="32"/>
      <c r="M61" s="32"/>
    </row>
    <row r="62" spans="1:15" x14ac:dyDescent="0.25">
      <c r="A62" s="62">
        <v>1</v>
      </c>
      <c r="B62" s="63"/>
      <c r="C62" s="64">
        <f t="shared" ref="C62:D72" si="4">(B16-$C$59)^2</f>
        <v>5.6587228800692428E-5</v>
      </c>
      <c r="D62" s="77">
        <f t="shared" si="4"/>
        <v>0.14536932707195213</v>
      </c>
      <c r="F62" s="62"/>
      <c r="G62" s="65"/>
      <c r="H62" s="31"/>
      <c r="I62" s="31"/>
      <c r="J62" s="31"/>
      <c r="K62" s="31"/>
      <c r="L62" s="31"/>
      <c r="M62" s="31"/>
      <c r="N62" s="31"/>
    </row>
    <row r="63" spans="1:15" x14ac:dyDescent="0.25">
      <c r="A63" s="62">
        <v>2</v>
      </c>
      <c r="B63" s="63"/>
      <c r="C63" s="64">
        <f t="shared" si="4"/>
        <v>0.15846911008604286</v>
      </c>
      <c r="D63" s="65">
        <f t="shared" si="4"/>
        <v>2.1027807242908927E-3</v>
      </c>
      <c r="F63" s="62" t="s">
        <v>7</v>
      </c>
      <c r="G63" s="65">
        <f>_xlfn.T.INV(1 - 0.1/2, 11 - 2)</f>
        <v>1.8331129326562368</v>
      </c>
      <c r="H63" s="31"/>
      <c r="I63" s="31"/>
      <c r="J63" s="31"/>
      <c r="K63" s="31"/>
      <c r="L63" s="31"/>
      <c r="M63" s="31"/>
      <c r="N63" s="31"/>
      <c r="O63" s="20"/>
    </row>
    <row r="64" spans="1:15" x14ac:dyDescent="0.25">
      <c r="A64" s="62">
        <v>3</v>
      </c>
      <c r="B64" s="63"/>
      <c r="C64" s="64">
        <f t="shared" si="4"/>
        <v>9.7816431584656041E-2</v>
      </c>
      <c r="D64" s="65">
        <f t="shared" si="4"/>
        <v>3.6395481586082253E-2</v>
      </c>
      <c r="F64" s="62"/>
      <c r="G64" s="65"/>
      <c r="H64" s="31"/>
      <c r="I64" s="31"/>
      <c r="J64" s="31"/>
      <c r="K64" s="31"/>
      <c r="L64" s="31"/>
      <c r="M64" s="31"/>
      <c r="N64" s="31"/>
    </row>
    <row r="65" spans="1:15" x14ac:dyDescent="0.25">
      <c r="A65" s="62">
        <v>4</v>
      </c>
      <c r="B65" s="63"/>
      <c r="C65" s="64">
        <f t="shared" si="4"/>
        <v>9.2137775089575755E-2</v>
      </c>
      <c r="D65" s="65">
        <f t="shared" si="4"/>
        <v>4.3298283823597879E-3</v>
      </c>
      <c r="F65" s="62" t="s">
        <v>35</v>
      </c>
      <c r="G65" s="65">
        <f>B43</f>
        <v>-3.7218861662719149E-2</v>
      </c>
      <c r="H65" s="31"/>
      <c r="I65" s="31"/>
      <c r="J65" s="31"/>
      <c r="K65" s="31"/>
      <c r="L65" s="31"/>
      <c r="M65" s="31"/>
      <c r="N65" s="31"/>
      <c r="O65" s="20"/>
    </row>
    <row r="66" spans="1:15" x14ac:dyDescent="0.25">
      <c r="A66" s="62">
        <v>5</v>
      </c>
      <c r="B66" s="63"/>
      <c r="C66" s="64">
        <f t="shared" si="4"/>
        <v>5.5741700008584668E-3</v>
      </c>
      <c r="D66" s="65">
        <f t="shared" si="4"/>
        <v>1.6180954010212228E-2</v>
      </c>
      <c r="F66" s="62"/>
      <c r="G66" s="65"/>
      <c r="H66" s="31"/>
      <c r="I66" s="31"/>
      <c r="J66" s="31"/>
      <c r="K66" s="31"/>
      <c r="L66" s="31"/>
      <c r="M66" s="31"/>
      <c r="N66" s="31"/>
      <c r="O66" s="20"/>
    </row>
    <row r="67" spans="1:15" x14ac:dyDescent="0.25">
      <c r="A67" s="62">
        <v>6</v>
      </c>
      <c r="B67" s="63"/>
      <c r="C67" s="64">
        <f t="shared" si="4"/>
        <v>1.2377202257107301E-5</v>
      </c>
      <c r="D67" s="65">
        <f t="shared" si="4"/>
        <v>0.13681874855491372</v>
      </c>
      <c r="F67" s="70" t="s">
        <v>38</v>
      </c>
      <c r="G67" s="101">
        <f>EXP(G65)</f>
        <v>0.96346524666631383</v>
      </c>
      <c r="H67" s="31"/>
      <c r="I67" s="31"/>
      <c r="J67" s="31"/>
      <c r="K67" s="31"/>
      <c r="L67" s="31"/>
      <c r="M67" s="31"/>
      <c r="N67" s="31"/>
      <c r="O67" s="20"/>
    </row>
    <row r="68" spans="1:15" x14ac:dyDescent="0.25">
      <c r="A68" s="62">
        <v>7</v>
      </c>
      <c r="B68" s="63"/>
      <c r="C68" s="64">
        <f t="shared" si="4"/>
        <v>0.11873870778033106</v>
      </c>
      <c r="D68" s="65">
        <f t="shared" si="4"/>
        <v>2.5794696458041663E-2</v>
      </c>
      <c r="F68" s="62"/>
      <c r="G68" s="65"/>
      <c r="H68" s="31"/>
      <c r="I68" s="31"/>
      <c r="J68" s="31"/>
      <c r="K68" s="31"/>
      <c r="L68" s="31"/>
      <c r="M68" s="31"/>
      <c r="N68" s="31"/>
      <c r="O68" s="20"/>
    </row>
    <row r="69" spans="1:15" x14ac:dyDescent="0.25">
      <c r="A69" s="62">
        <v>8</v>
      </c>
      <c r="B69" s="63"/>
      <c r="C69" s="64">
        <f t="shared" si="4"/>
        <v>8.7777122823415724E-2</v>
      </c>
      <c r="D69" s="65">
        <f t="shared" si="4"/>
        <v>7.9885685414165714E-2</v>
      </c>
      <c r="F69" s="62" t="s">
        <v>8</v>
      </c>
      <c r="G69" s="65">
        <f>G65+G61*G63</f>
        <v>0.11745009862302194</v>
      </c>
      <c r="H69" s="31"/>
      <c r="I69" s="31"/>
      <c r="J69" s="31"/>
      <c r="K69" s="31"/>
      <c r="L69" s="31"/>
      <c r="M69" s="31"/>
      <c r="N69" s="31"/>
      <c r="O69" s="20"/>
    </row>
    <row r="70" spans="1:15" x14ac:dyDescent="0.25">
      <c r="A70" s="62">
        <v>9</v>
      </c>
      <c r="B70" s="63"/>
      <c r="C70" s="64">
        <f t="shared" si="4"/>
        <v>4.2671684501259147E-2</v>
      </c>
      <c r="D70" s="65">
        <f t="shared" si="4"/>
        <v>4.6672887330703851E-3</v>
      </c>
      <c r="F70" s="62" t="s">
        <v>9</v>
      </c>
      <c r="G70" s="65">
        <f>G65-G63*G61</f>
        <v>-0.19188782194846024</v>
      </c>
      <c r="H70" s="31"/>
      <c r="I70" s="31"/>
      <c r="J70" s="31"/>
      <c r="K70" s="31"/>
      <c r="L70" s="31"/>
      <c r="M70" s="31"/>
      <c r="N70" s="31"/>
      <c r="O70" s="20"/>
    </row>
    <row r="71" spans="1:15" x14ac:dyDescent="0.25">
      <c r="A71" s="62">
        <v>10</v>
      </c>
      <c r="B71" s="63"/>
      <c r="C71" s="64">
        <f t="shared" si="4"/>
        <v>5.6576294403048897E-3</v>
      </c>
      <c r="D71" s="65">
        <f t="shared" si="4"/>
        <v>1.8455380758300867E-3</v>
      </c>
      <c r="F71" s="62"/>
      <c r="G71" s="65"/>
      <c r="H71" s="31"/>
      <c r="I71" s="31"/>
      <c r="J71" s="31"/>
      <c r="K71" s="31"/>
      <c r="L71" s="31"/>
      <c r="M71" s="31"/>
      <c r="N71" s="31"/>
      <c r="O71" s="20"/>
    </row>
    <row r="72" spans="1:15" x14ac:dyDescent="0.25">
      <c r="A72" s="66">
        <v>11</v>
      </c>
      <c r="B72" s="67"/>
      <c r="C72" s="68">
        <f t="shared" si="4"/>
        <v>9.8192774865168753E-2</v>
      </c>
      <c r="D72" s="69">
        <f t="shared" si="4"/>
        <v>6.2686865621529475E-2</v>
      </c>
      <c r="F72" s="58" t="s">
        <v>36</v>
      </c>
      <c r="G72" s="121">
        <f>EXP(G69)*100</f>
        <v>112.46255081820252</v>
      </c>
      <c r="H72" s="31"/>
      <c r="I72" s="31"/>
      <c r="J72" s="31"/>
      <c r="K72" s="31"/>
      <c r="L72" s="31"/>
      <c r="M72" s="31"/>
      <c r="N72" s="31"/>
      <c r="O72" s="20"/>
    </row>
    <row r="73" spans="1:15" x14ac:dyDescent="0.25">
      <c r="A73" s="82" t="s">
        <v>52</v>
      </c>
      <c r="B73" s="71"/>
      <c r="C73" s="72">
        <f>SUM(C62:D72)</f>
        <v>1.2231815652351186</v>
      </c>
      <c r="D73" s="73"/>
      <c r="F73" s="66" t="s">
        <v>37</v>
      </c>
      <c r="G73" s="122">
        <f>EXP(G70)*100</f>
        <v>82.539945500110221</v>
      </c>
      <c r="H73" s="27"/>
      <c r="I73" s="31"/>
      <c r="J73" s="31"/>
      <c r="K73" s="31"/>
      <c r="L73" s="31"/>
      <c r="M73" s="31"/>
      <c r="N73" s="31"/>
      <c r="O73" s="20"/>
    </row>
    <row r="74" spans="1:15" x14ac:dyDescent="0.25">
      <c r="F74" s="62"/>
      <c r="G74" s="65"/>
      <c r="H74" s="22"/>
      <c r="I74" s="31"/>
      <c r="K74" s="31"/>
      <c r="M74" s="31"/>
      <c r="O74" s="20"/>
    </row>
    <row r="75" spans="1:15" x14ac:dyDescent="0.25">
      <c r="A75" s="58" t="s">
        <v>24</v>
      </c>
      <c r="B75" s="59"/>
      <c r="C75" s="59" t="s">
        <v>53</v>
      </c>
      <c r="D75" s="76" t="s">
        <v>58</v>
      </c>
      <c r="F75" s="62" t="s">
        <v>40</v>
      </c>
      <c r="G75" s="65">
        <f>SQRT(EXP((E53-E57)/2)-1)</f>
        <v>0.1566516374312803</v>
      </c>
      <c r="H75" s="22"/>
      <c r="I75" s="22"/>
      <c r="K75" s="12"/>
      <c r="L75" s="17"/>
      <c r="M75" s="17"/>
      <c r="O75" s="20"/>
    </row>
    <row r="76" spans="1:15" x14ac:dyDescent="0.25">
      <c r="A76" s="62">
        <v>1</v>
      </c>
      <c r="B76" s="63"/>
      <c r="C76" s="64">
        <f t="shared" ref="C76:C86" si="5">AVERAGE(B16:C16)</f>
        <v>4.1296619123863811</v>
      </c>
      <c r="D76" s="65">
        <f t="shared" ref="D76:D86" si="6">(SUM(B16:C16)^2)/2</f>
        <v>34.108215021229483</v>
      </c>
      <c r="F76" s="66" t="s">
        <v>39</v>
      </c>
      <c r="G76" s="69">
        <f>SQRT(EXP(E57)-1)</f>
        <v>0.19898620488882604</v>
      </c>
      <c r="H76" s="22"/>
      <c r="I76" s="22"/>
      <c r="K76" s="12"/>
      <c r="L76" s="17"/>
      <c r="M76" s="17"/>
      <c r="O76" s="20"/>
    </row>
    <row r="77" spans="1:15" x14ac:dyDescent="0.25">
      <c r="A77" s="62">
        <v>2</v>
      </c>
      <c r="B77" s="63"/>
      <c r="C77" s="64">
        <f t="shared" si="5"/>
        <v>4.0945683991233279</v>
      </c>
      <c r="D77" s="65">
        <f t="shared" si="6"/>
        <v>33.530980750198744</v>
      </c>
      <c r="H77" s="22"/>
      <c r="I77" s="22"/>
      <c r="K77" s="12"/>
      <c r="L77" s="17"/>
      <c r="M77" s="17"/>
      <c r="O77" s="20"/>
    </row>
    <row r="78" spans="1:15" x14ac:dyDescent="0.25">
      <c r="A78" s="62">
        <v>3</v>
      </c>
      <c r="B78" s="63"/>
      <c r="C78" s="64">
        <f t="shared" si="5"/>
        <v>4.0647712447778153</v>
      </c>
      <c r="D78" s="65">
        <f t="shared" si="6"/>
        <v>33.044730544745178</v>
      </c>
      <c r="H78" s="22"/>
      <c r="I78" s="22"/>
      <c r="K78" s="25"/>
      <c r="L78" s="21"/>
      <c r="O78" s="20"/>
    </row>
    <row r="79" spans="1:15" ht="15" customHeight="1" x14ac:dyDescent="0.25">
      <c r="A79" s="62">
        <v>4</v>
      </c>
      <c r="B79" s="63"/>
      <c r="C79" s="64">
        <f t="shared" si="5"/>
        <v>4.4354076451898212</v>
      </c>
      <c r="D79" s="65">
        <f t="shared" si="6"/>
        <v>39.345681958016627</v>
      </c>
      <c r="F79" s="124" t="s">
        <v>76</v>
      </c>
      <c r="G79" s="124"/>
      <c r="H79" s="124"/>
      <c r="I79" s="22"/>
      <c r="O79" s="20"/>
    </row>
    <row r="80" spans="1:15" x14ac:dyDescent="0.25">
      <c r="A80" s="62">
        <v>5</v>
      </c>
      <c r="B80" s="63"/>
      <c r="C80" s="64">
        <f t="shared" si="5"/>
        <v>4.3428093440539133</v>
      </c>
      <c r="D80" s="65">
        <f t="shared" si="6"/>
        <v>37.719985997603963</v>
      </c>
      <c r="F80" s="124"/>
      <c r="G80" s="124"/>
      <c r="H80" s="124"/>
      <c r="I80" s="22"/>
      <c r="K80" s="17"/>
      <c r="L80" s="17"/>
      <c r="M80" s="17"/>
      <c r="N80" s="17"/>
      <c r="O80" s="17"/>
    </row>
    <row r="81" spans="1:15" x14ac:dyDescent="0.25">
      <c r="A81" s="62">
        <v>6</v>
      </c>
      <c r="B81" s="63"/>
      <c r="C81" s="64">
        <f t="shared" si="5"/>
        <v>4.5032414914049017</v>
      </c>
      <c r="D81" s="65">
        <f t="shared" si="6"/>
        <v>40.558367859821288</v>
      </c>
      <c r="F81" s="124"/>
      <c r="G81" s="124"/>
      <c r="H81" s="124"/>
      <c r="I81" s="22"/>
      <c r="K81" s="17"/>
      <c r="L81" s="17"/>
      <c r="M81" s="17"/>
      <c r="N81" s="17"/>
      <c r="O81" s="17"/>
    </row>
    <row r="82" spans="1:15" x14ac:dyDescent="0.25">
      <c r="A82" s="62">
        <v>7</v>
      </c>
      <c r="B82" s="63"/>
      <c r="C82" s="64">
        <f t="shared" si="5"/>
        <v>4.0639412828041994</v>
      </c>
      <c r="D82" s="65">
        <f t="shared" si="6"/>
        <v>33.031237500160486</v>
      </c>
      <c r="F82" s="124"/>
      <c r="G82" s="124"/>
      <c r="H82" s="124"/>
      <c r="I82" s="22"/>
      <c r="K82" s="17"/>
      <c r="L82" s="17"/>
      <c r="M82" s="17"/>
      <c r="N82" s="17"/>
      <c r="O82" s="17"/>
    </row>
    <row r="83" spans="1:15" x14ac:dyDescent="0.25">
      <c r="A83" s="62">
        <v>8</v>
      </c>
      <c r="B83" s="63"/>
      <c r="C83" s="64">
        <f t="shared" si="5"/>
        <v>4.6059936370704957</v>
      </c>
      <c r="D83" s="65">
        <f t="shared" si="6"/>
        <v>42.430354769467783</v>
      </c>
      <c r="F83" s="124"/>
      <c r="G83" s="124"/>
      <c r="H83" s="124"/>
      <c r="I83" s="22"/>
      <c r="K83" s="17"/>
      <c r="L83" s="17"/>
      <c r="M83" s="17"/>
      <c r="N83" s="17"/>
      <c r="O83" s="17"/>
    </row>
    <row r="84" spans="1:15" x14ac:dyDescent="0.25">
      <c r="A84" s="62">
        <v>9</v>
      </c>
      <c r="B84" s="63"/>
      <c r="C84" s="64">
        <f t="shared" si="5"/>
        <v>4.3856641866025328</v>
      </c>
      <c r="D84" s="65">
        <f t="shared" si="6"/>
        <v>38.46810071529611</v>
      </c>
      <c r="F84" s="124"/>
      <c r="G84" s="124"/>
      <c r="H84" s="124"/>
      <c r="I84" s="22"/>
      <c r="K84" s="17"/>
      <c r="L84" s="17"/>
      <c r="M84" s="17"/>
      <c r="N84" s="17"/>
      <c r="O84" s="17"/>
    </row>
    <row r="85" spans="1:15" x14ac:dyDescent="0.25">
      <c r="A85" s="62">
        <v>10</v>
      </c>
      <c r="B85" s="63"/>
      <c r="C85" s="64">
        <f t="shared" si="5"/>
        <v>4.2574488661374623</v>
      </c>
      <c r="D85" s="65">
        <f t="shared" si="6"/>
        <v>36.251741695550329</v>
      </c>
      <c r="F85" s="124"/>
      <c r="G85" s="124"/>
      <c r="H85" s="124"/>
      <c r="I85" s="20"/>
      <c r="K85" s="17"/>
      <c r="L85" s="17"/>
      <c r="M85" s="17"/>
      <c r="N85" s="17"/>
      <c r="O85" s="17"/>
    </row>
    <row r="86" spans="1:15" x14ac:dyDescent="0.25">
      <c r="A86" s="62">
        <v>11</v>
      </c>
      <c r="B86" s="63"/>
      <c r="C86" s="64">
        <f t="shared" si="5"/>
        <v>4.5984026948935348</v>
      </c>
      <c r="D86" s="65">
        <f t="shared" si="6"/>
        <v>42.290614688808247</v>
      </c>
      <c r="F86" s="124"/>
      <c r="G86" s="124"/>
      <c r="H86" s="124"/>
      <c r="K86" s="17"/>
      <c r="L86" s="17"/>
      <c r="M86" s="17"/>
      <c r="N86" s="17"/>
      <c r="O86" s="17"/>
    </row>
    <row r="87" spans="1:15" x14ac:dyDescent="0.25">
      <c r="A87" s="66"/>
      <c r="B87" s="67"/>
      <c r="C87" s="67"/>
      <c r="D87" s="69">
        <f>SUM(D76:D86)</f>
        <v>410.78001150089824</v>
      </c>
      <c r="E87" s="24"/>
      <c r="K87" s="17"/>
      <c r="L87" s="17"/>
      <c r="M87" s="17"/>
      <c r="N87" s="17"/>
      <c r="O87" s="17"/>
    </row>
    <row r="88" spans="1:15" x14ac:dyDescent="0.25">
      <c r="A88" s="58" t="s">
        <v>56</v>
      </c>
      <c r="B88" s="60">
        <f>SUM(B16:C21)</f>
        <v>51.140920073872316</v>
      </c>
      <c r="C88" s="60">
        <f>(B88^2)/(2*6)</f>
        <v>217.94947550018301</v>
      </c>
      <c r="D88" s="61"/>
      <c r="K88" s="17"/>
      <c r="L88" s="17"/>
      <c r="M88" s="17"/>
      <c r="N88" s="17"/>
      <c r="O88" s="17"/>
    </row>
    <row r="89" spans="1:15" x14ac:dyDescent="0.25">
      <c r="A89" s="66" t="s">
        <v>57</v>
      </c>
      <c r="B89" s="68">
        <f>SUM(B22:C26)</f>
        <v>43.822901335016454</v>
      </c>
      <c r="C89" s="68">
        <f>(B89^2)/(2*5)</f>
        <v>192.04466814185869</v>
      </c>
      <c r="D89" s="69">
        <f>C88+C89</f>
        <v>409.99414364204171</v>
      </c>
      <c r="G89" s="22"/>
      <c r="H89" s="22"/>
      <c r="I89" s="22"/>
      <c r="K89" s="17"/>
      <c r="L89" s="17"/>
      <c r="M89" s="17"/>
      <c r="N89" s="17"/>
      <c r="O89" s="17"/>
    </row>
    <row r="90" spans="1:15" x14ac:dyDescent="0.25">
      <c r="A90" s="82" t="s">
        <v>62</v>
      </c>
      <c r="B90" s="71"/>
      <c r="C90" s="72">
        <f>D87-D89</f>
        <v>0.78586785885653399</v>
      </c>
      <c r="D90" s="73"/>
      <c r="G90" s="22"/>
      <c r="H90" s="22"/>
      <c r="I90" s="22"/>
      <c r="K90" s="17"/>
      <c r="L90" s="17"/>
      <c r="M90" s="17"/>
      <c r="N90" s="17"/>
      <c r="O90" s="17"/>
    </row>
    <row r="91" spans="1:15" x14ac:dyDescent="0.25">
      <c r="G91" s="22"/>
      <c r="H91" s="22"/>
      <c r="I91" s="22"/>
      <c r="K91" s="17"/>
      <c r="L91" s="17"/>
      <c r="M91" s="17"/>
      <c r="N91" s="17"/>
      <c r="O91" s="17"/>
    </row>
    <row r="92" spans="1:15" x14ac:dyDescent="0.25">
      <c r="A92" s="81" t="s">
        <v>54</v>
      </c>
      <c r="B92" s="59"/>
      <c r="C92" s="59"/>
      <c r="D92" s="76"/>
      <c r="G92" s="22"/>
      <c r="H92" s="22"/>
      <c r="I92" s="22"/>
      <c r="K92" s="17"/>
      <c r="L92" s="17"/>
      <c r="M92" s="17"/>
      <c r="N92" s="17"/>
      <c r="O92" s="17"/>
    </row>
    <row r="93" spans="1:15" x14ac:dyDescent="0.25">
      <c r="A93" s="62">
        <v>1</v>
      </c>
      <c r="B93" s="63"/>
      <c r="C93" s="64">
        <f t="shared" ref="C93:D103" si="7">(B16-$C76)^2</f>
        <v>3.7790532912689426E-2</v>
      </c>
      <c r="D93" s="65">
        <f t="shared" si="7"/>
        <v>3.7790532912689252E-2</v>
      </c>
      <c r="G93" s="22"/>
      <c r="H93" s="22"/>
      <c r="I93" s="22"/>
      <c r="K93" s="17"/>
      <c r="L93" s="17"/>
      <c r="M93" s="17"/>
      <c r="N93" s="17"/>
      <c r="O93" s="17"/>
    </row>
    <row r="94" spans="1:15" x14ac:dyDescent="0.25">
      <c r="A94" s="62">
        <v>2</v>
      </c>
      <c r="B94" s="63"/>
      <c r="C94" s="64">
        <f t="shared" si="7"/>
        <v>3.1015736126208629E-2</v>
      </c>
      <c r="D94" s="65">
        <f t="shared" si="7"/>
        <v>3.1015736126208473E-2</v>
      </c>
      <c r="G94" s="22"/>
      <c r="H94" s="22"/>
      <c r="I94" s="22"/>
      <c r="K94" s="17"/>
      <c r="L94" s="17"/>
      <c r="M94" s="17"/>
      <c r="N94" s="17"/>
      <c r="O94" s="17"/>
    </row>
    <row r="95" spans="1:15" x14ac:dyDescent="0.25">
      <c r="A95" s="62">
        <v>3</v>
      </c>
      <c r="B95" s="63"/>
      <c r="C95" s="64">
        <f t="shared" si="7"/>
        <v>3.7197915095246851E-3</v>
      </c>
      <c r="D95" s="65">
        <f t="shared" si="7"/>
        <v>3.7197915095246851E-3</v>
      </c>
      <c r="G95" s="22"/>
      <c r="H95" s="22"/>
      <c r="I95" s="22"/>
      <c r="K95" s="17"/>
      <c r="L95" s="17"/>
      <c r="M95" s="17"/>
      <c r="N95" s="17"/>
      <c r="O95" s="17"/>
    </row>
    <row r="96" spans="1:15" x14ac:dyDescent="0.25">
      <c r="A96" s="62">
        <v>4</v>
      </c>
      <c r="B96" s="63"/>
      <c r="C96" s="64">
        <f t="shared" si="7"/>
        <v>3.4103651511590574E-2</v>
      </c>
      <c r="D96" s="65">
        <f t="shared" si="7"/>
        <v>3.41036515115909E-2</v>
      </c>
      <c r="H96" s="22"/>
      <c r="K96" s="17"/>
      <c r="L96" s="17"/>
      <c r="M96" s="17"/>
      <c r="N96" s="17"/>
      <c r="O96" s="17"/>
    </row>
    <row r="97" spans="1:16" x14ac:dyDescent="0.25">
      <c r="A97" s="62">
        <v>5</v>
      </c>
      <c r="B97" s="63"/>
      <c r="C97" s="64">
        <f t="shared" si="7"/>
        <v>1.0187343638686976E-2</v>
      </c>
      <c r="D97" s="65">
        <f t="shared" si="7"/>
        <v>1.0187343638686976E-2</v>
      </c>
      <c r="E97" s="22"/>
      <c r="F97" s="17"/>
      <c r="H97" s="22"/>
      <c r="K97" s="17"/>
      <c r="L97" s="17"/>
      <c r="M97" s="17"/>
      <c r="N97" s="17"/>
      <c r="O97" s="17"/>
    </row>
    <row r="98" spans="1:16" x14ac:dyDescent="0.25">
      <c r="A98" s="62">
        <v>6</v>
      </c>
      <c r="B98" s="63"/>
      <c r="C98" s="64">
        <f t="shared" si="7"/>
        <v>3.3557121519782435E-2</v>
      </c>
      <c r="D98" s="65">
        <f t="shared" si="7"/>
        <v>3.3557121519782435E-2</v>
      </c>
      <c r="E98" s="22"/>
      <c r="F98" s="17"/>
      <c r="G98" s="22"/>
      <c r="H98" s="22"/>
      <c r="K98" s="17"/>
      <c r="L98" s="17"/>
      <c r="M98" s="17"/>
      <c r="N98" s="17"/>
      <c r="O98" s="17"/>
    </row>
    <row r="99" spans="1:16" x14ac:dyDescent="0.25">
      <c r="A99" s="62">
        <v>7</v>
      </c>
      <c r="B99" s="63"/>
      <c r="C99" s="64">
        <f t="shared" si="7"/>
        <v>8.4619356412694944E-3</v>
      </c>
      <c r="D99" s="65">
        <f t="shared" si="7"/>
        <v>8.4619356412696575E-3</v>
      </c>
      <c r="F99" s="17"/>
      <c r="H99" s="22"/>
      <c r="K99" s="17"/>
      <c r="L99" s="17"/>
      <c r="M99" s="17"/>
      <c r="N99" s="17"/>
      <c r="O99" s="17"/>
    </row>
    <row r="100" spans="1:16" x14ac:dyDescent="0.25">
      <c r="A100" s="62">
        <v>8</v>
      </c>
      <c r="B100" s="63"/>
      <c r="C100" s="64">
        <f t="shared" si="7"/>
        <v>4.645433379139236E-5</v>
      </c>
      <c r="D100" s="65">
        <f t="shared" si="7"/>
        <v>4.6454333791380257E-5</v>
      </c>
      <c r="F100" s="17"/>
      <c r="H100" s="22"/>
      <c r="J100" s="17"/>
      <c r="K100" s="17"/>
      <c r="L100" s="17"/>
      <c r="M100" s="17"/>
      <c r="N100" s="17"/>
      <c r="O100" s="17"/>
    </row>
    <row r="101" spans="1:16" x14ac:dyDescent="0.25">
      <c r="A101" s="62">
        <v>9</v>
      </c>
      <c r="B101" s="63"/>
      <c r="C101" s="64">
        <f t="shared" si="7"/>
        <v>1.8890965249073164E-2</v>
      </c>
      <c r="D101" s="65">
        <f t="shared" si="7"/>
        <v>1.889096524907341E-2</v>
      </c>
      <c r="J101" s="17"/>
      <c r="K101" s="17"/>
      <c r="L101" s="17"/>
      <c r="M101" s="17"/>
      <c r="N101" s="17"/>
      <c r="O101" s="17"/>
    </row>
    <row r="102" spans="1:16" x14ac:dyDescent="0.25">
      <c r="A102" s="62">
        <v>10</v>
      </c>
      <c r="B102" s="63"/>
      <c r="C102" s="64">
        <f t="shared" si="7"/>
        <v>2.6013639665050091E-4</v>
      </c>
      <c r="D102" s="65">
        <f t="shared" si="7"/>
        <v>2.6013639665052954E-4</v>
      </c>
      <c r="J102" s="17"/>
      <c r="K102" s="17"/>
      <c r="L102" s="17"/>
      <c r="M102" s="17"/>
      <c r="N102" s="17"/>
      <c r="O102" s="17"/>
    </row>
    <row r="103" spans="1:16" x14ac:dyDescent="0.25">
      <c r="A103" s="66">
        <v>11</v>
      </c>
      <c r="B103" s="67"/>
      <c r="C103" s="68">
        <f t="shared" si="7"/>
        <v>9.9174013192761365E-4</v>
      </c>
      <c r="D103" s="69">
        <f t="shared" si="7"/>
        <v>9.9174013192761365E-4</v>
      </c>
      <c r="J103" s="17"/>
      <c r="K103" s="17"/>
      <c r="L103" s="17"/>
      <c r="M103" s="17"/>
      <c r="N103" s="17"/>
      <c r="O103" s="17"/>
    </row>
    <row r="104" spans="1:16" x14ac:dyDescent="0.25">
      <c r="A104" s="82" t="s">
        <v>54</v>
      </c>
      <c r="B104" s="71"/>
      <c r="C104" s="72">
        <f>SUM(C93:D103)</f>
        <v>0.35805081794239013</v>
      </c>
      <c r="D104" s="78">
        <f>C73-C118</f>
        <v>0.35805081794238958</v>
      </c>
      <c r="J104" s="17"/>
      <c r="K104" s="17"/>
      <c r="L104" s="17"/>
      <c r="M104" s="17"/>
      <c r="N104" s="17"/>
      <c r="O104" s="17"/>
    </row>
    <row r="105" spans="1:16" x14ac:dyDescent="0.25">
      <c r="J105" s="17"/>
      <c r="K105" s="17"/>
      <c r="L105" s="17"/>
      <c r="M105" s="17"/>
      <c r="N105" s="17"/>
      <c r="O105" s="17"/>
    </row>
    <row r="106" spans="1:16" x14ac:dyDescent="0.25">
      <c r="A106" s="81" t="s">
        <v>55</v>
      </c>
      <c r="B106" s="59"/>
      <c r="C106" s="59"/>
      <c r="D106" s="76"/>
      <c r="J106" s="17"/>
      <c r="K106" s="17"/>
      <c r="L106" s="17"/>
      <c r="M106" s="17"/>
      <c r="N106" s="17"/>
      <c r="O106" s="17"/>
    </row>
    <row r="107" spans="1:16" x14ac:dyDescent="0.25">
      <c r="A107" s="62">
        <v>1</v>
      </c>
      <c r="B107" s="63"/>
      <c r="C107" s="64">
        <f t="shared" ref="C107:C117" si="8">(C76-$C$59)^2</f>
        <v>3.4922424237687155E-2</v>
      </c>
      <c r="D107" s="79"/>
      <c r="J107" s="17"/>
      <c r="K107" s="17"/>
      <c r="L107" s="17"/>
      <c r="M107" s="17"/>
      <c r="N107" s="17"/>
      <c r="O107" s="17"/>
    </row>
    <row r="108" spans="1:16" x14ac:dyDescent="0.25">
      <c r="A108" s="62">
        <v>2</v>
      </c>
      <c r="B108" s="63"/>
      <c r="C108" s="64">
        <f t="shared" si="8"/>
        <v>4.9270209278958234E-2</v>
      </c>
      <c r="D108" s="79"/>
      <c r="J108" s="17"/>
      <c r="K108" s="17"/>
      <c r="L108" s="17"/>
      <c r="M108" s="17"/>
      <c r="N108" s="17"/>
      <c r="O108" s="17"/>
    </row>
    <row r="109" spans="1:16" x14ac:dyDescent="0.25">
      <c r="A109" s="62">
        <v>3</v>
      </c>
      <c r="B109" s="63"/>
      <c r="C109" s="64">
        <f t="shared" si="8"/>
        <v>6.3386165075844464E-2</v>
      </c>
      <c r="D109" s="79"/>
      <c r="J109" s="17"/>
      <c r="K109" s="17"/>
      <c r="L109" s="17"/>
      <c r="M109" s="17"/>
      <c r="N109" s="17"/>
      <c r="O109" s="17"/>
      <c r="P109" s="21"/>
    </row>
    <row r="110" spans="1:16" x14ac:dyDescent="0.25">
      <c r="A110" s="62">
        <v>4</v>
      </c>
      <c r="B110" s="63"/>
      <c r="C110" s="64">
        <f t="shared" si="8"/>
        <v>1.4130150224377136E-2</v>
      </c>
      <c r="D110" s="79"/>
      <c r="J110" s="17"/>
      <c r="K110" s="17"/>
      <c r="L110" s="17"/>
      <c r="M110" s="17"/>
      <c r="N110" s="17"/>
      <c r="O110" s="17"/>
    </row>
    <row r="111" spans="1:16" x14ac:dyDescent="0.25">
      <c r="A111" s="62">
        <v>5</v>
      </c>
      <c r="B111" s="63"/>
      <c r="C111" s="64">
        <f t="shared" si="8"/>
        <v>6.9021836684837105E-4</v>
      </c>
      <c r="D111" s="79"/>
      <c r="H111" s="22"/>
      <c r="J111" s="17"/>
      <c r="K111" s="17"/>
      <c r="L111" s="17"/>
      <c r="M111" s="17"/>
      <c r="N111" s="17"/>
      <c r="O111" s="17"/>
    </row>
    <row r="112" spans="1:16" x14ac:dyDescent="0.25">
      <c r="A112" s="62">
        <v>6</v>
      </c>
      <c r="B112" s="63"/>
      <c r="C112" s="64">
        <f t="shared" si="8"/>
        <v>3.4858441358802984E-2</v>
      </c>
      <c r="D112" s="79"/>
      <c r="J112" s="17"/>
      <c r="K112" s="17"/>
      <c r="L112" s="17"/>
      <c r="M112" s="17"/>
      <c r="N112" s="17"/>
      <c r="O112" s="17"/>
    </row>
    <row r="113" spans="1:16" x14ac:dyDescent="0.25">
      <c r="A113" s="62">
        <v>7</v>
      </c>
      <c r="B113" s="63"/>
      <c r="C113" s="64">
        <f t="shared" si="8"/>
        <v>6.380476647791701E-2</v>
      </c>
      <c r="D113" s="79"/>
      <c r="J113" s="17"/>
      <c r="K113" s="17"/>
      <c r="L113" s="17"/>
      <c r="M113" s="17"/>
      <c r="N113" s="17"/>
      <c r="O113" s="17"/>
    </row>
    <row r="114" spans="1:16" x14ac:dyDescent="0.25">
      <c r="A114" s="62">
        <v>8</v>
      </c>
      <c r="B114" s="63"/>
      <c r="C114" s="64">
        <f t="shared" si="8"/>
        <v>8.3784949784999077E-2</v>
      </c>
      <c r="D114" s="79"/>
      <c r="J114" s="17"/>
      <c r="K114" s="17"/>
      <c r="L114" s="17"/>
      <c r="M114" s="17"/>
      <c r="N114" s="17"/>
      <c r="O114" s="17"/>
    </row>
    <row r="115" spans="1:16" x14ac:dyDescent="0.25">
      <c r="A115" s="62">
        <v>9</v>
      </c>
      <c r="B115" s="63"/>
      <c r="C115" s="64">
        <f t="shared" si="8"/>
        <v>4.7785213680915381E-3</v>
      </c>
      <c r="D115" s="79"/>
      <c r="J115" s="17"/>
      <c r="K115" s="17"/>
      <c r="L115" s="17"/>
      <c r="M115" s="17"/>
      <c r="N115" s="17"/>
      <c r="O115" s="17"/>
    </row>
    <row r="116" spans="1:16" x14ac:dyDescent="0.25">
      <c r="A116" s="62">
        <v>10</v>
      </c>
      <c r="B116" s="63"/>
      <c r="C116" s="64">
        <f t="shared" si="8"/>
        <v>3.4914473614170256E-3</v>
      </c>
      <c r="D116" s="79"/>
      <c r="O116" s="3"/>
    </row>
    <row r="117" spans="1:16" x14ac:dyDescent="0.25">
      <c r="A117" s="62">
        <v>11</v>
      </c>
      <c r="B117" s="63"/>
      <c r="C117" s="64">
        <f t="shared" si="8"/>
        <v>7.9448080111421501E-2</v>
      </c>
      <c r="D117" s="79"/>
      <c r="O117" s="3"/>
    </row>
    <row r="118" spans="1:16" x14ac:dyDescent="0.25">
      <c r="A118" s="82" t="s">
        <v>55</v>
      </c>
      <c r="B118" s="71"/>
      <c r="C118" s="72">
        <f>2*SUM(C107:C117)</f>
        <v>0.86513074729272899</v>
      </c>
      <c r="D118" s="73"/>
      <c r="O118" s="3"/>
    </row>
    <row r="119" spans="1:16" x14ac:dyDescent="0.25">
      <c r="O119" s="3"/>
    </row>
    <row r="120" spans="1:16" x14ac:dyDescent="0.25">
      <c r="A120" s="58" t="s">
        <v>42</v>
      </c>
      <c r="B120" s="59"/>
      <c r="C120" s="59"/>
      <c r="D120" s="76"/>
      <c r="L120" s="17"/>
      <c r="M120" s="17"/>
      <c r="O120" s="3"/>
    </row>
    <row r="121" spans="1:16" x14ac:dyDescent="0.25">
      <c r="A121" s="62">
        <v>1</v>
      </c>
      <c r="B121" s="64">
        <f t="shared" ref="B121:B126" si="9">(B16-C16)/2</f>
        <v>0.19439787270618303</v>
      </c>
      <c r="C121" s="64">
        <f t="shared" ref="C121:C126" si="10">(B121-B$127)^2</f>
        <v>4.756317316076826E-2</v>
      </c>
      <c r="D121" s="79"/>
      <c r="O121" s="3"/>
    </row>
    <row r="122" spans="1:16" x14ac:dyDescent="0.25">
      <c r="A122" s="62">
        <v>2</v>
      </c>
      <c r="B122" s="64">
        <f t="shared" si="9"/>
        <v>-0.17611285054251025</v>
      </c>
      <c r="C122" s="64">
        <f t="shared" si="10"/>
        <v>2.3232129249916921E-2</v>
      </c>
      <c r="D122" s="79"/>
      <c r="G122" s="22"/>
      <c r="H122" s="22"/>
      <c r="I122" s="22"/>
      <c r="J122" s="22"/>
      <c r="L122" s="12"/>
      <c r="M122" s="12"/>
      <c r="O122" s="3"/>
    </row>
    <row r="123" spans="1:16" x14ac:dyDescent="0.25">
      <c r="A123" s="62">
        <v>3</v>
      </c>
      <c r="B123" s="64">
        <f t="shared" si="9"/>
        <v>-6.0990093535956191E-2</v>
      </c>
      <c r="C123" s="64">
        <f t="shared" si="10"/>
        <v>1.3911511020154204E-3</v>
      </c>
      <c r="D123" s="79"/>
      <c r="G123" s="22"/>
      <c r="H123" s="22"/>
      <c r="I123" s="22"/>
      <c r="J123" s="22"/>
      <c r="K123" s="12"/>
      <c r="L123" s="17"/>
      <c r="M123" s="17"/>
      <c r="O123" s="16"/>
    </row>
    <row r="124" spans="1:16" x14ac:dyDescent="0.25">
      <c r="A124" s="62">
        <v>4</v>
      </c>
      <c r="B124" s="64">
        <f t="shared" si="9"/>
        <v>0.1846717398834774</v>
      </c>
      <c r="C124" s="64">
        <f t="shared" si="10"/>
        <v>4.3415429547902423E-2</v>
      </c>
      <c r="D124" s="79"/>
      <c r="G124" s="22"/>
      <c r="H124" s="22"/>
      <c r="I124" s="22"/>
      <c r="J124" s="22"/>
      <c r="K124" s="12"/>
      <c r="L124" s="17"/>
      <c r="M124" s="17"/>
      <c r="O124" s="3"/>
    </row>
    <row r="125" spans="1:16" x14ac:dyDescent="0.25">
      <c r="A125" s="62">
        <v>5</v>
      </c>
      <c r="B125" s="64">
        <f t="shared" si="9"/>
        <v>-0.10093237160934532</v>
      </c>
      <c r="C125" s="64">
        <f t="shared" si="10"/>
        <v>5.9660818829527524E-3</v>
      </c>
      <c r="D125" s="79"/>
      <c r="G125" s="22"/>
      <c r="H125" s="22"/>
      <c r="I125" s="22"/>
      <c r="J125" s="22"/>
      <c r="K125" s="12"/>
      <c r="L125" s="17"/>
      <c r="M125" s="17"/>
      <c r="O125" s="3"/>
    </row>
    <row r="126" spans="1:16" x14ac:dyDescent="0.25">
      <c r="A126" s="62">
        <v>6</v>
      </c>
      <c r="B126" s="64">
        <f t="shared" si="9"/>
        <v>-0.18318602981609278</v>
      </c>
      <c r="C126" s="64">
        <f t="shared" si="10"/>
        <v>2.543835974650651E-2</v>
      </c>
      <c r="D126" s="79"/>
      <c r="G126" s="22"/>
      <c r="H126" s="22"/>
      <c r="I126" s="22"/>
      <c r="J126" s="22"/>
      <c r="K126" s="12"/>
      <c r="L126" s="17"/>
      <c r="M126" s="17"/>
      <c r="O126" s="3"/>
    </row>
    <row r="127" spans="1:16" x14ac:dyDescent="0.25">
      <c r="A127" s="62" t="s">
        <v>65</v>
      </c>
      <c r="B127" s="64">
        <f>AVERAGE(B121:B126)</f>
        <v>-2.369195548570735E-2</v>
      </c>
      <c r="C127" s="63"/>
      <c r="D127" s="79"/>
      <c r="G127" s="22"/>
      <c r="H127" s="22"/>
      <c r="I127" s="22"/>
      <c r="J127" s="22"/>
      <c r="K127" s="12"/>
      <c r="L127" s="17"/>
      <c r="M127" s="17"/>
      <c r="P127" s="16"/>
    </row>
    <row r="128" spans="1:16" x14ac:dyDescent="0.25">
      <c r="A128" s="62"/>
      <c r="B128" s="63"/>
      <c r="C128" s="63"/>
      <c r="D128" s="79"/>
      <c r="G128" s="22"/>
      <c r="H128" s="22"/>
      <c r="I128" s="26"/>
      <c r="J128" s="22"/>
      <c r="K128" s="30"/>
      <c r="L128" s="17"/>
      <c r="M128" s="17"/>
      <c r="P128" s="16"/>
    </row>
    <row r="129" spans="1:16" x14ac:dyDescent="0.25">
      <c r="A129" s="62">
        <v>7</v>
      </c>
      <c r="B129" s="64">
        <f>(B22-C22)/2</f>
        <v>-9.198877997489463E-2</v>
      </c>
      <c r="C129" s="64">
        <f>(B129-B$134)^2</f>
        <v>1.1133560024107788E-2</v>
      </c>
      <c r="D129" s="79"/>
      <c r="G129" s="22"/>
      <c r="H129" s="22"/>
      <c r="I129" s="22"/>
      <c r="J129" s="22"/>
      <c r="K129" s="12"/>
      <c r="L129" s="17"/>
      <c r="M129" s="17"/>
      <c r="O129" s="3"/>
    </row>
    <row r="130" spans="1:16" x14ac:dyDescent="0.25">
      <c r="A130" s="62">
        <v>8</v>
      </c>
      <c r="B130" s="64">
        <f>(B23-C23)/2</f>
        <v>6.8157416171232832E-3</v>
      </c>
      <c r="C130" s="64">
        <f>(B130-B$134)^2</f>
        <v>4.5039729749914353E-5</v>
      </c>
      <c r="D130" s="79"/>
      <c r="G130" s="22"/>
      <c r="H130" s="22"/>
      <c r="I130" s="22"/>
      <c r="J130" s="22"/>
      <c r="K130" s="12"/>
      <c r="L130" s="17"/>
      <c r="M130" s="17"/>
      <c r="O130" s="3"/>
    </row>
    <row r="131" spans="1:16" x14ac:dyDescent="0.25">
      <c r="A131" s="62">
        <v>9</v>
      </c>
      <c r="B131" s="64">
        <f>(B24-C24)/2</f>
        <v>0.13744440784940393</v>
      </c>
      <c r="C131" s="64">
        <f>(B131-B$134)^2</f>
        <v>1.5355547220727106E-2</v>
      </c>
      <c r="D131" s="79"/>
      <c r="G131" s="22"/>
      <c r="H131" s="22"/>
      <c r="I131" s="22"/>
      <c r="J131" s="22"/>
      <c r="K131" s="12"/>
      <c r="L131" s="17"/>
      <c r="M131" s="17"/>
      <c r="O131" s="3"/>
    </row>
    <row r="132" spans="1:16" x14ac:dyDescent="0.25">
      <c r="A132" s="62">
        <v>10</v>
      </c>
      <c r="B132" s="64">
        <f>(B25-C25)/2</f>
        <v>-1.6128744422629904E-2</v>
      </c>
      <c r="C132" s="64">
        <f>(B132-B$134)^2</f>
        <v>8.7945761248807658E-4</v>
      </c>
      <c r="D132" s="79"/>
      <c r="G132" s="22"/>
      <c r="H132" s="22"/>
      <c r="I132" s="22"/>
      <c r="J132" s="22"/>
      <c r="K132" s="12"/>
      <c r="L132" s="17"/>
      <c r="M132" s="17"/>
      <c r="O132" s="3"/>
    </row>
    <row r="133" spans="1:16" x14ac:dyDescent="0.25">
      <c r="A133" s="62">
        <v>11</v>
      </c>
      <c r="B133" s="64">
        <f>(B26-C26)/2</f>
        <v>3.1491905816060317E-2</v>
      </c>
      <c r="C133" s="64">
        <f>(B133-B$134)^2</f>
        <v>3.2274121203098471E-4</v>
      </c>
      <c r="D133" s="79"/>
      <c r="G133" s="22"/>
      <c r="H133" s="22"/>
      <c r="I133" s="22"/>
      <c r="J133" s="22"/>
      <c r="K133" s="19"/>
      <c r="L133" s="17"/>
      <c r="M133" s="17"/>
      <c r="O133" s="3"/>
    </row>
    <row r="134" spans="1:16" x14ac:dyDescent="0.25">
      <c r="A134" s="66" t="s">
        <v>66</v>
      </c>
      <c r="B134" s="64">
        <f>AVERAGE(B129:B133)</f>
        <v>1.3526906177012599E-2</v>
      </c>
      <c r="C134" s="67"/>
      <c r="D134" s="80"/>
      <c r="G134" s="22"/>
      <c r="H134" s="22"/>
      <c r="I134" s="22"/>
      <c r="J134" s="22"/>
      <c r="K134" s="19"/>
      <c r="L134" s="17"/>
      <c r="M134" s="17"/>
      <c r="O134" s="3"/>
    </row>
    <row r="135" spans="1:16" x14ac:dyDescent="0.25">
      <c r="A135" s="58"/>
      <c r="B135" s="59"/>
      <c r="C135" s="59">
        <f>SUM(C121:C133)</f>
        <v>0.17474267048916617</v>
      </c>
      <c r="D135" s="76"/>
      <c r="G135" s="22"/>
      <c r="H135" s="22"/>
      <c r="I135" s="22"/>
      <c r="J135" s="22"/>
      <c r="K135" s="12"/>
      <c r="L135" s="17"/>
      <c r="M135" s="17"/>
      <c r="O135" s="3"/>
    </row>
    <row r="136" spans="1:16" x14ac:dyDescent="0.25">
      <c r="A136" s="66" t="s">
        <v>42</v>
      </c>
      <c r="B136" s="67"/>
      <c r="C136" s="72">
        <f>C135*2</f>
        <v>0.34948534097833234</v>
      </c>
      <c r="D136" s="80"/>
      <c r="G136" s="22"/>
      <c r="H136" s="22"/>
      <c r="I136" s="22"/>
      <c r="J136" s="26"/>
      <c r="O136" s="3"/>
    </row>
    <row r="137" spans="1:16" x14ac:dyDescent="0.25">
      <c r="H137" s="22"/>
      <c r="I137" s="22"/>
      <c r="L137" s="17"/>
      <c r="M137" s="17"/>
      <c r="O137" s="3"/>
    </row>
    <row r="138" spans="1:16" x14ac:dyDescent="0.25">
      <c r="H138" s="22"/>
      <c r="I138" s="22"/>
      <c r="O138" s="3"/>
    </row>
    <row r="139" spans="1:16" x14ac:dyDescent="0.25">
      <c r="H139" s="22"/>
      <c r="I139" s="22"/>
      <c r="O139" s="3"/>
    </row>
    <row r="140" spans="1:16" x14ac:dyDescent="0.25">
      <c r="H140" s="22"/>
      <c r="I140" s="22"/>
      <c r="O140" s="3"/>
    </row>
    <row r="141" spans="1:16" x14ac:dyDescent="0.25">
      <c r="H141" s="22"/>
      <c r="I141" s="22"/>
      <c r="O141" s="3"/>
    </row>
    <row r="142" spans="1:16" x14ac:dyDescent="0.25">
      <c r="H142" s="22"/>
      <c r="I142" s="22"/>
      <c r="O142" s="3"/>
      <c r="P142" s="23"/>
    </row>
    <row r="143" spans="1:16" x14ac:dyDescent="0.25">
      <c r="H143" s="22"/>
      <c r="I143" s="22"/>
      <c r="O143" s="3"/>
    </row>
    <row r="144" spans="1:16" x14ac:dyDescent="0.25">
      <c r="H144" s="22"/>
      <c r="I144" s="22"/>
      <c r="O144" s="3"/>
      <c r="P144" s="21"/>
    </row>
    <row r="145" spans="6:17" x14ac:dyDescent="0.25">
      <c r="G145" s="17"/>
      <c r="H145" s="22"/>
      <c r="I145" s="22"/>
      <c r="O145" s="3"/>
    </row>
    <row r="146" spans="6:17" x14ac:dyDescent="0.25">
      <c r="H146" s="22"/>
      <c r="I146" s="22"/>
      <c r="O146" s="3"/>
    </row>
    <row r="147" spans="6:17" x14ac:dyDescent="0.25">
      <c r="H147" s="22"/>
      <c r="I147" s="22"/>
      <c r="O147" s="3"/>
      <c r="P147" s="1"/>
    </row>
    <row r="148" spans="6:17" x14ac:dyDescent="0.25">
      <c r="H148" s="22"/>
      <c r="I148" s="22"/>
      <c r="O148" s="3"/>
    </row>
    <row r="149" spans="6:17" x14ac:dyDescent="0.25">
      <c r="H149" s="22"/>
      <c r="I149" s="22"/>
      <c r="O149" s="3"/>
    </row>
    <row r="150" spans="6:17" x14ac:dyDescent="0.25">
      <c r="H150" s="22"/>
      <c r="I150" s="22"/>
      <c r="O150" s="3"/>
    </row>
    <row r="151" spans="6:17" x14ac:dyDescent="0.25">
      <c r="H151" s="22"/>
      <c r="I151" s="22"/>
      <c r="O151" s="3"/>
    </row>
    <row r="152" spans="6:17" x14ac:dyDescent="0.25">
      <c r="H152" s="22"/>
      <c r="I152" s="22"/>
      <c r="N152" s="20"/>
      <c r="O152" s="3"/>
      <c r="P152" s="15"/>
    </row>
    <row r="153" spans="6:17" x14ac:dyDescent="0.25">
      <c r="F153" s="22"/>
      <c r="H153" s="22"/>
      <c r="I153" s="22"/>
      <c r="N153" s="20"/>
      <c r="O153" s="3"/>
      <c r="P153" s="15"/>
    </row>
    <row r="154" spans="6:17" x14ac:dyDescent="0.25">
      <c r="H154" s="22"/>
      <c r="I154" s="22"/>
      <c r="N154" s="20"/>
      <c r="O154" s="3"/>
    </row>
    <row r="155" spans="6:17" x14ac:dyDescent="0.25">
      <c r="N155" s="3"/>
      <c r="O155" s="3"/>
      <c r="Q155" s="3"/>
    </row>
    <row r="156" spans="6:17" x14ac:dyDescent="0.25">
      <c r="I156" s="22"/>
      <c r="N156" s="20"/>
      <c r="O156" s="3"/>
      <c r="Q156" s="3"/>
    </row>
    <row r="157" spans="6:17" x14ac:dyDescent="0.25">
      <c r="N157" s="1"/>
      <c r="O157" s="3"/>
      <c r="Q157" s="3"/>
    </row>
    <row r="158" spans="6:17" x14ac:dyDescent="0.25">
      <c r="N158" s="3"/>
      <c r="O158" s="3"/>
      <c r="Q158" s="3"/>
    </row>
    <row r="159" spans="6:17" x14ac:dyDescent="0.25">
      <c r="O159" s="3"/>
    </row>
    <row r="160" spans="6:17" x14ac:dyDescent="0.25">
      <c r="N160" s="20"/>
      <c r="O160" s="3"/>
      <c r="Q160" s="20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  <row r="214" spans="15:15" x14ac:dyDescent="0.25">
      <c r="O214" s="3"/>
    </row>
    <row r="215" spans="15:15" x14ac:dyDescent="0.25">
      <c r="O215" s="3"/>
    </row>
    <row r="216" spans="15:15" x14ac:dyDescent="0.25">
      <c r="O216" s="3"/>
    </row>
    <row r="217" spans="15:15" x14ac:dyDescent="0.25">
      <c r="O217" s="3"/>
    </row>
    <row r="218" spans="15:15" x14ac:dyDescent="0.25">
      <c r="O218" s="3"/>
    </row>
    <row r="219" spans="15:15" x14ac:dyDescent="0.25">
      <c r="O219" s="3"/>
    </row>
    <row r="220" spans="15:15" x14ac:dyDescent="0.25">
      <c r="O220" s="3"/>
    </row>
    <row r="221" spans="15:15" x14ac:dyDescent="0.25">
      <c r="O221" s="3"/>
    </row>
    <row r="222" spans="15:15" x14ac:dyDescent="0.25">
      <c r="O222" s="3"/>
    </row>
    <row r="223" spans="15:15" x14ac:dyDescent="0.25">
      <c r="O223" s="3"/>
    </row>
    <row r="224" spans="15:15" x14ac:dyDescent="0.25">
      <c r="O224" s="3"/>
    </row>
    <row r="225" spans="15:15" x14ac:dyDescent="0.25">
      <c r="O225" s="3"/>
    </row>
    <row r="226" spans="15:15" x14ac:dyDescent="0.25">
      <c r="O226" s="3"/>
    </row>
    <row r="227" spans="15:15" x14ac:dyDescent="0.25">
      <c r="O227" s="3"/>
    </row>
    <row r="228" spans="15:15" x14ac:dyDescent="0.25">
      <c r="O228" s="3"/>
    </row>
    <row r="229" spans="15:15" x14ac:dyDescent="0.25">
      <c r="O229" s="3"/>
    </row>
    <row r="230" spans="15:15" x14ac:dyDescent="0.25">
      <c r="O230" s="3"/>
    </row>
    <row r="231" spans="15:15" x14ac:dyDescent="0.25">
      <c r="O231" s="3"/>
    </row>
    <row r="232" spans="15:15" x14ac:dyDescent="0.25">
      <c r="O232" s="3"/>
    </row>
    <row r="233" spans="15:15" x14ac:dyDescent="0.25">
      <c r="O233" s="3"/>
    </row>
    <row r="234" spans="15:15" x14ac:dyDescent="0.25">
      <c r="O234" s="3"/>
    </row>
    <row r="235" spans="15:15" x14ac:dyDescent="0.25">
      <c r="O235" s="3"/>
    </row>
    <row r="236" spans="15:15" x14ac:dyDescent="0.25">
      <c r="O236" s="3"/>
    </row>
    <row r="237" spans="15:15" x14ac:dyDescent="0.25">
      <c r="O237" s="3"/>
    </row>
    <row r="238" spans="15:15" x14ac:dyDescent="0.25">
      <c r="O238" s="3"/>
    </row>
    <row r="239" spans="15:15" x14ac:dyDescent="0.25">
      <c r="O239" s="3"/>
    </row>
    <row r="240" spans="15:15" x14ac:dyDescent="0.25">
      <c r="O240" s="3"/>
    </row>
    <row r="241" spans="15:15" x14ac:dyDescent="0.25">
      <c r="O241" s="3"/>
    </row>
    <row r="242" spans="15:15" x14ac:dyDescent="0.25">
      <c r="O242" s="3"/>
    </row>
    <row r="243" spans="15:15" x14ac:dyDescent="0.25">
      <c r="O243" s="3"/>
    </row>
    <row r="244" spans="15:15" x14ac:dyDescent="0.25">
      <c r="O244" s="3"/>
    </row>
    <row r="245" spans="15:15" x14ac:dyDescent="0.25">
      <c r="O245" s="3"/>
    </row>
    <row r="246" spans="15:15" x14ac:dyDescent="0.25">
      <c r="O246" s="3"/>
    </row>
    <row r="247" spans="15:15" x14ac:dyDescent="0.25">
      <c r="O247" s="3"/>
    </row>
    <row r="248" spans="15:15" x14ac:dyDescent="0.25">
      <c r="O248" s="3"/>
    </row>
    <row r="249" spans="15:15" x14ac:dyDescent="0.25">
      <c r="O249" s="3"/>
    </row>
    <row r="250" spans="15:15" x14ac:dyDescent="0.25">
      <c r="O250" s="3"/>
    </row>
    <row r="251" spans="15:15" x14ac:dyDescent="0.25">
      <c r="O251" s="3"/>
    </row>
    <row r="252" spans="15:15" x14ac:dyDescent="0.25">
      <c r="O252" s="3"/>
    </row>
    <row r="253" spans="15:15" x14ac:dyDescent="0.25">
      <c r="O253" s="3"/>
    </row>
    <row r="254" spans="15:15" x14ac:dyDescent="0.25">
      <c r="O254" s="3"/>
    </row>
    <row r="255" spans="15:15" x14ac:dyDescent="0.25">
      <c r="O255" s="3"/>
    </row>
    <row r="256" spans="15:15" x14ac:dyDescent="0.25">
      <c r="O256" s="3"/>
    </row>
    <row r="257" spans="15:15" x14ac:dyDescent="0.25">
      <c r="O257" s="3"/>
    </row>
    <row r="258" spans="15:15" x14ac:dyDescent="0.25">
      <c r="O258" s="3"/>
    </row>
    <row r="259" spans="15:15" x14ac:dyDescent="0.25">
      <c r="O259" s="3"/>
    </row>
    <row r="260" spans="15:15" x14ac:dyDescent="0.25">
      <c r="O260" s="3"/>
    </row>
    <row r="261" spans="15:15" x14ac:dyDescent="0.25">
      <c r="O261" s="3"/>
    </row>
    <row r="262" spans="15:15" x14ac:dyDescent="0.25">
      <c r="O262" s="3"/>
    </row>
    <row r="263" spans="15:15" x14ac:dyDescent="0.25">
      <c r="O263" s="3"/>
    </row>
    <row r="264" spans="15:15" x14ac:dyDescent="0.25">
      <c r="O264" s="3"/>
    </row>
    <row r="265" spans="15:15" x14ac:dyDescent="0.25">
      <c r="O265" s="3"/>
    </row>
    <row r="266" spans="15:15" x14ac:dyDescent="0.25">
      <c r="O266" s="3"/>
    </row>
    <row r="267" spans="15:15" x14ac:dyDescent="0.25">
      <c r="O267" s="3"/>
    </row>
    <row r="268" spans="15:15" x14ac:dyDescent="0.25">
      <c r="O268" s="3"/>
    </row>
    <row r="269" spans="15:15" x14ac:dyDescent="0.25">
      <c r="O269" s="3"/>
    </row>
    <row r="270" spans="15:15" x14ac:dyDescent="0.25">
      <c r="O270" s="3"/>
    </row>
    <row r="271" spans="15:15" x14ac:dyDescent="0.25">
      <c r="O271" s="3"/>
    </row>
    <row r="272" spans="15:15" x14ac:dyDescent="0.25">
      <c r="O272" s="3"/>
    </row>
    <row r="273" spans="15:15" x14ac:dyDescent="0.25">
      <c r="O273" s="3"/>
    </row>
    <row r="274" spans="15:15" x14ac:dyDescent="0.25">
      <c r="O274" s="3"/>
    </row>
    <row r="275" spans="15:15" x14ac:dyDescent="0.25">
      <c r="O275" s="3"/>
    </row>
    <row r="276" spans="15:15" x14ac:dyDescent="0.25">
      <c r="O276" s="3"/>
    </row>
    <row r="277" spans="15:15" x14ac:dyDescent="0.25">
      <c r="O277" s="3"/>
    </row>
    <row r="278" spans="15:15" x14ac:dyDescent="0.25">
      <c r="O278" s="3"/>
    </row>
    <row r="279" spans="15:15" x14ac:dyDescent="0.25">
      <c r="O279" s="3"/>
    </row>
    <row r="280" spans="15:15" x14ac:dyDescent="0.25">
      <c r="O280" s="3"/>
    </row>
    <row r="281" spans="15:15" x14ac:dyDescent="0.25">
      <c r="O281" s="3"/>
    </row>
    <row r="282" spans="15:15" x14ac:dyDescent="0.25">
      <c r="O282" s="3"/>
    </row>
    <row r="283" spans="15:15" x14ac:dyDescent="0.25">
      <c r="O283" s="3"/>
    </row>
    <row r="284" spans="15:15" x14ac:dyDescent="0.25">
      <c r="O284" s="3"/>
    </row>
    <row r="285" spans="15:15" x14ac:dyDescent="0.25">
      <c r="O285" s="3"/>
    </row>
    <row r="286" spans="15:15" x14ac:dyDescent="0.25">
      <c r="O286" s="3"/>
    </row>
    <row r="287" spans="15:15" x14ac:dyDescent="0.25">
      <c r="O287" s="3"/>
    </row>
    <row r="288" spans="15:15" x14ac:dyDescent="0.25">
      <c r="O288" s="3"/>
    </row>
    <row r="289" spans="15:15" x14ac:dyDescent="0.25">
      <c r="O289" s="3"/>
    </row>
    <row r="290" spans="15:15" x14ac:dyDescent="0.25">
      <c r="O290" s="3"/>
    </row>
    <row r="291" spans="15:15" x14ac:dyDescent="0.25">
      <c r="O291" s="3"/>
    </row>
    <row r="292" spans="15:15" x14ac:dyDescent="0.25">
      <c r="O292" s="3"/>
    </row>
    <row r="293" spans="15:15" x14ac:dyDescent="0.25">
      <c r="O293" s="3"/>
    </row>
    <row r="294" spans="15:15" x14ac:dyDescent="0.25">
      <c r="O294" s="3"/>
    </row>
    <row r="295" spans="15:15" x14ac:dyDescent="0.25">
      <c r="O295" s="3"/>
    </row>
    <row r="296" spans="15:15" x14ac:dyDescent="0.25">
      <c r="O296" s="3"/>
    </row>
    <row r="297" spans="15:15" x14ac:dyDescent="0.25">
      <c r="O297" s="3"/>
    </row>
    <row r="298" spans="15:15" x14ac:dyDescent="0.25">
      <c r="O298" s="3"/>
    </row>
    <row r="299" spans="15:15" x14ac:dyDescent="0.25">
      <c r="O299" s="3"/>
    </row>
    <row r="300" spans="15:15" x14ac:dyDescent="0.25">
      <c r="O300" s="3"/>
    </row>
    <row r="301" spans="15:15" x14ac:dyDescent="0.25">
      <c r="O301" s="3"/>
    </row>
    <row r="302" spans="15:15" x14ac:dyDescent="0.25">
      <c r="O302" s="3"/>
    </row>
    <row r="303" spans="15:15" x14ac:dyDescent="0.25">
      <c r="O303" s="3"/>
    </row>
    <row r="304" spans="15:15" x14ac:dyDescent="0.25">
      <c r="O304" s="3"/>
    </row>
    <row r="305" spans="15:15" x14ac:dyDescent="0.25">
      <c r="O305" s="3"/>
    </row>
    <row r="306" spans="15:15" x14ac:dyDescent="0.25">
      <c r="O306" s="3"/>
    </row>
    <row r="307" spans="15:15" x14ac:dyDescent="0.25">
      <c r="O307" s="3"/>
    </row>
    <row r="308" spans="15:15" x14ac:dyDescent="0.25">
      <c r="O308" s="3"/>
    </row>
    <row r="309" spans="15:15" x14ac:dyDescent="0.25">
      <c r="O309" s="3"/>
    </row>
    <row r="310" spans="15:15" x14ac:dyDescent="0.25">
      <c r="O310" s="3"/>
    </row>
    <row r="311" spans="15:15" x14ac:dyDescent="0.25">
      <c r="O311" s="3"/>
    </row>
    <row r="312" spans="15:15" x14ac:dyDescent="0.25">
      <c r="O312" s="3"/>
    </row>
    <row r="313" spans="15:15" x14ac:dyDescent="0.25">
      <c r="O313" s="3"/>
    </row>
    <row r="314" spans="15:15" x14ac:dyDescent="0.25">
      <c r="O314" s="3"/>
    </row>
    <row r="315" spans="15:15" x14ac:dyDescent="0.25">
      <c r="O315" s="3"/>
    </row>
    <row r="316" spans="15:15" x14ac:dyDescent="0.25">
      <c r="O316" s="3"/>
    </row>
    <row r="317" spans="15:15" x14ac:dyDescent="0.25">
      <c r="O317" s="3"/>
    </row>
    <row r="318" spans="15:15" x14ac:dyDescent="0.25">
      <c r="O318" s="3"/>
    </row>
    <row r="319" spans="15:15" x14ac:dyDescent="0.25">
      <c r="O319" s="3"/>
    </row>
    <row r="320" spans="15:15" x14ac:dyDescent="0.25">
      <c r="O320" s="3"/>
    </row>
    <row r="321" spans="15:15" x14ac:dyDescent="0.25">
      <c r="O321" s="3"/>
    </row>
    <row r="322" spans="15:15" x14ac:dyDescent="0.25">
      <c r="O322" s="3"/>
    </row>
    <row r="323" spans="15:15" x14ac:dyDescent="0.25">
      <c r="O323" s="3"/>
    </row>
    <row r="324" spans="15:15" x14ac:dyDescent="0.25">
      <c r="O324" s="3"/>
    </row>
  </sheetData>
  <mergeCells count="2">
    <mergeCell ref="A14:E14"/>
    <mergeCell ref="F79:H86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BEAnova</vt:lpstr>
      <vt:lpstr>BE imbalanced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ANOVA Биоэквивалентность</dc:title>
  <dc:subject>Биоэквивалентность</dc:subject>
  <dc:creator>Арнаутов Владимир Сергеевич</dc:creator>
  <cp:keywords>ANOVA, Биоэквивалентность, Статистика, Доверительный интервал</cp:keywords>
  <cp:lastModifiedBy>Арнаутов Владимир Сергеевич</cp:lastModifiedBy>
  <dcterms:created xsi:type="dcterms:W3CDTF">2015-02-03T09:12:15Z</dcterms:created>
  <dcterms:modified xsi:type="dcterms:W3CDTF">2015-10-15T09:41:27Z</dcterms:modified>
  <cp:category>Биоэквивалентность</cp:category>
  <cp:contentStatus>Финальная версия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